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cted.sharepoint.com/sites/IMPACTUKR/Documents partages/ISU/HNMU/UKR2403_MSNA/02_Data/03_Data_Analysis/01_Frequency_Tables/MSNA_Displacement_output/01_For publication/"/>
    </mc:Choice>
  </mc:AlternateContent>
  <xr:revisionPtr revIDLastSave="55" documentId="8_{53324526-21BB-44DF-A161-88D70F820597}" xr6:coauthVersionLast="47" xr6:coauthVersionMax="47" xr10:uidLastSave="{F10B9258-7928-410B-9256-9F17F157B5EC}"/>
  <bookViews>
    <workbookView xWindow="28680" yWindow="-120" windowWidth="29040" windowHeight="15720" activeTab="2" xr2:uid="{00000000-000D-0000-FFFF-FFFF00000000}"/>
  </bookViews>
  <sheets>
    <sheet name="READ_ME" sheetId="4" r:id="rId1"/>
    <sheet name="Table_of_content" sheetId="1" r:id="rId2"/>
    <sheet name="Data" sheetId="2" r:id="rId3"/>
    <sheet name="Sheet" sheetId="3" r:id="rId4"/>
  </sheets>
  <definedNames>
    <definedName name="_xlnm._FilterDatabase" localSheetId="2" hidden="1">Data!$A$1:$BD$7285</definedName>
    <definedName name="Slicer_disaggregations">#N/A</definedName>
    <definedName name="Slicer_Indicator">#N/A</definedName>
    <definedName name="Slicer_Secto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1" i="1"/>
  <c r="E22" i="1"/>
  <c r="E334" i="1"/>
  <c r="E333" i="1"/>
  <c r="E137" i="1"/>
  <c r="E136" i="1"/>
  <c r="E135" i="1"/>
  <c r="E126" i="1"/>
  <c r="E125" i="1"/>
  <c r="E124" i="1"/>
  <c r="E120" i="1"/>
  <c r="E119" i="1"/>
  <c r="E118" i="1"/>
  <c r="E105" i="1"/>
  <c r="E104" i="1"/>
  <c r="E103" i="1"/>
  <c r="E96" i="1"/>
  <c r="E95" i="1"/>
  <c r="E94"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4" i="1"/>
  <c r="E133" i="1"/>
  <c r="E132" i="1"/>
  <c r="E131" i="1"/>
  <c r="E130" i="1"/>
  <c r="E129" i="1"/>
  <c r="E128" i="1"/>
  <c r="E127" i="1"/>
  <c r="E123" i="1"/>
  <c r="E122" i="1"/>
  <c r="E121" i="1"/>
  <c r="E117" i="1"/>
  <c r="E116" i="1"/>
  <c r="E115" i="1"/>
  <c r="E114" i="1"/>
  <c r="E113" i="1"/>
  <c r="E112" i="1"/>
  <c r="E111" i="1"/>
  <c r="E110" i="1"/>
  <c r="E109" i="1"/>
  <c r="E108" i="1"/>
  <c r="E107" i="1"/>
  <c r="E106" i="1"/>
  <c r="E102" i="1"/>
  <c r="E101" i="1"/>
  <c r="E100" i="1"/>
  <c r="E99" i="1"/>
  <c r="E98" i="1"/>
  <c r="E97"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0" i="1"/>
  <c r="E19" i="1"/>
  <c r="E18" i="1"/>
  <c r="E17" i="1"/>
  <c r="E16" i="1"/>
  <c r="E15" i="1"/>
  <c r="E14" i="1"/>
  <c r="E13" i="1"/>
  <c r="E12" i="1"/>
  <c r="E11" i="1"/>
  <c r="E10" i="1"/>
  <c r="E9" i="1"/>
  <c r="E8" i="1"/>
  <c r="E7" i="1"/>
</calcChain>
</file>

<file path=xl/sharedStrings.xml><?xml version="1.0" encoding="utf-8"?>
<sst xmlns="http://schemas.openxmlformats.org/spreadsheetml/2006/main" count="24748" uniqueCount="1412">
  <si>
    <t>REACH Ukraine | Multisectoral Needs Assessment (MSNA) 2024 | MACROREGION Frequency Tables - DISPLACEMENT DATASET</t>
  </si>
  <si>
    <t>Items</t>
  </si>
  <si>
    <t>Description</t>
  </si>
  <si>
    <t>Inclusion of population groups</t>
  </si>
  <si>
    <t>Returnee HHs are included in the West, North, East and South macroregions. The MSNA Displacement Dataset is not representative in the Center for Returnee HHs and thus they are excluded from these frequency tables. 
IDP HHs are included in the West, North, East, Center and South macroregions.</t>
  </si>
  <si>
    <t xml:space="preserve">Background &amp; Rationale </t>
  </si>
  <si>
    <t>More than two years since the escalation of the war in Ukraine in February 2022, the humanitarian crisis continues to impact the population in the country, leaving 14.7 million people in need of humanitarian assistance in 2024. 
As of February 2024, the International Organization for Migration (IOM) estimated that 3.41 million people were internally displaced within Ukraine – a notable decrease from the previous year’s estimation (5.4 million). However, of those that were still displaced at the end of 2023, 70% reported having been displaced for at least one year. Thus, while people were decreasingly becoming newly displaced, millions of individuals' displacement was continuing for one year or more. Further, large numbers of people have returned to their communities of origin since the early months of the war, as well. The estimated population of returnees (4.5 million) is now higher than those currently displaced within Ukraine. This return has been accompanied by difficulties finding a suitable job (predominantly in rural areas) and lack of availability of basic services due to consequences of the conflict, alongside other impacts. 
The impacts of the escalation of the war for the entire population, regardless of displacement status, are particularly intense in areas close to the frontline and border of the Russian Federation. Active hostilities continue in Northern, Eastern and Southern Ukraine, with continuous reports of civilian casualties and damage to civilian infrastructure. There were more than 47,000 incidents involving armed clashes, airstrikes, and other attacks across Ukraine in 2023, an increase of more than 12,000 compared to 2022.  Intensified strikes since the start of 2024 have damaged houses and critical civilian infrastructure, leading to major disruptions of essential services, such as electricity and heating, and reduced access to health and education. The conflict has specifically led to deterioration in the socioeconomic situation of the Ukrainian population. Damage to and destruction of productive assets, as well as the bombings of Ukrainian ports and grain infrastructure points by the Russian Federation, have severely jeopardized the socioeconomic stability of Ukraine, particularly in the agriculture sector. Alongside protection, livelihood challenges were one of the key drivers of severe or higher multi-sectoral needs in Ukraine, reported by 56% of households nationwide in the 2023 MSNA. In this context, previously vulnerable groups living in Ukraine have also been facing exacerbated difficulties accessing basic services, including healthcare, primary education and social protection, as well.
Household-level vulnerabilities vary according to sector, according to key demographic and vulnerability factors, and across geographic area. In light of the ongoing hostilities, the dynamic situation and intensifying impacts in frontline regions, and increasing evidence that the needs are ongoing and diverging according to specific population groups, the multi-sectoral needs analysis (MSNA) will contribute to continued efforts to gather accurate information for the ongoing humanitarian response in the Ukraine. The MSNA intends to enhance the understanding of the current humanitarian situation in Ukraine to inform strategic decision-making, including funding allocations, and ongoing or planned humanitarian interventions. REACH, in partnership with World Food Programme (WFP) and Kyiv International Institute of Sociology (KIIS), conducted the 2024 MSNA building upon the 2023 and 2022 Ukraine MSNA, in collaboration with the HCT, Inter-Cluster Coordination Group (ICCG) and United Nations Office for the Coordination of Humanitarian Affairs (OCHA).
The MSNA intends to enhance the understanding of the current humanitarian situation in Ukraine to inform strategic decision-making, including funding allocations, and ongoing or planned humanitarian interventions. The MSNA serves as a baseline upon which humanitarian aid providers in Ukraine can better understand: 1) the humanitarian situation in Ukraine and the multi-sectoral needs of the people in Ukraine, 2) how to address these needs and thus improve the humanitarian response, and 3) where further inquiry is required. In terms of direct applications of the MSNA, the findings of the MSNA will directly feed into the People-in-Need (PiN) and severity calculations and inform strategic planning for the 2025 HNRP. Through its contribution to the HNRP, the MSNA will provide a shared understanding of the crisis and inform joint strategic response prioritization and planning in Ukraine. The MSNA also aims to better clarify how household-level needs vary according to geographic area, across key demographics (e.g. gender, disability) and displacement status (e.g. returnee households, IDP households, and non-displaced households). Understanding how needs vary across such groups will improve humanitarian aid providers’ ability to specify and target their aid.</t>
  </si>
  <si>
    <t>Methodology</t>
  </si>
  <si>
    <t xml:space="preserve">This assessment employed a quantitative data collection methodology, including face-to-face (F2F) and computer-assisted telephone interview (CATI) surveys conducted at the household level. This dataset is composed of households where at least one head of household was reported as being a returnee or displaced. This includes households from the General Population MSNA dataset, as well as a separate displacement-specific research component where displaced and returnee households were specifically sampled for and interviewed via CATI identifed through random digital dialing by the MSNA third-party service provider Kiev International Institute of Sociology (KIIS).   
REACH developed a sampling strategy designed to allow for disaggregation by geographic areas and population groups, balanced against time, access, and resource constraints. REACH’s sampling approach was guided by the aim of conducting more targeted data collection for displaced persons and returnees, for whom results from the 2023 MSNA suggested more more severe, as well as at times localised needs profiles. The sampling approach is therefore comprised of several complimentary sampling methods, with a precision of 90% confidence level and 10% margin of error across all stratum for this specific Displacement Dataset. The first approach is representative for displaced persons at the oblast level for all oblasts located in the North, East and South macroregions, and at the macroregional level for the West and Center macroregions. The second approach is representative for returnees at the macroregional level in the West, North, South and East macroregions. Due to challenges reaching households where the head of household was either displaced or was a returnee, REACH was unable to collect a representative sample for displaced households in Zhytomyrska Oblast, as well as a representative returnee sample for the Center macroregion.
This dataset combines 1) those households identified in the main dataset as having at least one head of household who was reported to be either displaced or a returnee and 2) the second research component where households in Ukraine within the geographic scope of coverage were randomly screened through random digital dialing by KIIS to meet this aforementioned criteria. Please see the main dataset containing all households for the REACH Ukraine 2024 MSNA Dataset - Displacement. 
Please see the MSNA 2024 Terms of Reference for more details: https://repository.impact-initiatives.org/document/repository/ad883447/REACH_UKR_TOR_UKR2403_May-2024-external-1-1.pdf. </t>
  </si>
  <si>
    <t>Limitations</t>
  </si>
  <si>
    <t xml:space="preserve">1) The Displacement Dataset combines two research components. First, it includes the returnee and displaced households randomly sampled in the General Population Dataset. Second, it also includes a separate reseach component whereby households were screened for whether they were displaced or returnee households. Since these two components deployed different sampling approaches (i.e. the sample for the General Population was distributed according to settlement population (face-to-face modality) and according to random digital dialing in particular (less accessible) raions (CATI modaility), while the sample for latter component was distributed purely by oblast, for displaced households, and by macroregion for IDP and returnee households achieved through random digital dialing), the final displaced and returnee sample might have oversampled or undersampled some raions within particular oblasts. Given that existing raion-specific population estimates for returnee and displaced households in Ukraine are unreliable, this dataset may potentially misrepresent the severity of needs of these households. This is particularly true for those oblasts that are close to the frontline, where the needs of population that lives in raions close to the frontline are notably different from the needs of those who live in the same oblast but in raions away from the frontline (MSNA 2023).
2) For weighting the returnee and displaced households in this dataset, the updated International Organization of Migration (IOM) returnee and IDP dataset on Population Statistics estimates per raion (Round 17) were used. Estimation of distribution of displaced groups across Ukraine is very hard to assess, given the complex and constantly evolving movement of the population within the country. Thus, the estimates of  displaced groups might not be particularly precise, leading to a potential overrepresentation or underrepresentation of the severity or quality of needs in certain raions where there is less precision. 
3) It is important to note that comparison of displaced groups from the MSNA displacement dataset and non-displaced population from MSNA general population dataset are only indicative, since different weights have been applied to both datasets. More precise comparison of needs between non-displaced population and displaced populations can be achieved using the REACH Ukraine 2024 MSNA General Population Dataset, but these findings are only indicative, as well. </t>
  </si>
  <si>
    <t>Product Navigation and Disaggregations</t>
  </si>
  <si>
    <r>
      <rPr>
        <sz val="10"/>
        <color rgb="FF000000"/>
        <rFont val="Arial Narrow"/>
      </rPr>
      <t xml:space="preserve">This REACH product presents frequency tables of </t>
    </r>
    <r>
      <rPr>
        <b/>
        <sz val="10"/>
        <color rgb="FF000000"/>
        <rFont val="Arial Narrow"/>
      </rPr>
      <t>2024 MSNA indicators at the national level</t>
    </r>
    <r>
      <rPr>
        <sz val="10"/>
        <color rgb="FF000000"/>
        <rFont val="Arial Narrow"/>
      </rPr>
      <t xml:space="preserve">. </t>
    </r>
    <r>
      <rPr>
        <b/>
        <sz val="10"/>
        <color rgb="FF000000"/>
        <rFont val="Arial Narrow"/>
      </rPr>
      <t>The frequency tables are grouped by Sector and Indicator,</t>
    </r>
    <r>
      <rPr>
        <sz val="10"/>
        <color rgb="FF000000"/>
        <rFont val="Arial Narrow"/>
      </rPr>
      <t xml:space="preserve"> and can be navigated using the relevant link in the "Table of Content" tab. Frequency tables disaggregations include the following:
•	</t>
    </r>
    <r>
      <rPr>
        <b/>
        <sz val="10"/>
        <color rgb="FF000000"/>
        <rFont val="Arial Narrow"/>
      </rPr>
      <t xml:space="preserve">By rural/urban: </t>
    </r>
    <r>
      <rPr>
        <sz val="10"/>
        <color rgb="FF000000"/>
        <rFont val="Arial Narrow"/>
      </rPr>
      <t xml:space="preserve">Rural HHs, Urban HHs
•	</t>
    </r>
    <r>
      <rPr>
        <b/>
        <sz val="10"/>
        <color rgb="FF000000"/>
        <rFont val="Arial Narrow"/>
      </rPr>
      <t>By displacement status: I</t>
    </r>
    <r>
      <rPr>
        <sz val="10"/>
        <color rgb="FF000000"/>
        <rFont val="Arial Narrow"/>
      </rPr>
      <t>DP HHs, Returnee HHs
•</t>
    </r>
    <r>
      <rPr>
        <b/>
        <sz val="10"/>
        <color rgb="FF000000"/>
        <rFont val="Arial Narrow"/>
      </rPr>
      <t xml:space="preserve">	By proximity to the Frontline / Russian border:</t>
    </r>
    <r>
      <rPr>
        <sz val="10"/>
        <color rgb="FF000000"/>
        <rFont val="Arial Narrow"/>
      </rPr>
      <t xml:space="preserve"> HHs living in settlements away from the frontline or Russian border, HHs living in settlements within 3km of the frontline or Russian border, and HHs living in settlements within 30 to 100km of the frontline or the Russian border
•	</t>
    </r>
    <r>
      <rPr>
        <b/>
        <sz val="10"/>
        <color rgb="FF000000"/>
        <rFont val="Arial Narrow"/>
      </rPr>
      <t xml:space="preserve">By gender of respondent: </t>
    </r>
    <r>
      <rPr>
        <sz val="10"/>
        <color rgb="FF000000"/>
        <rFont val="Arial Narrow"/>
      </rPr>
      <t xml:space="preserve">Men-respondent, Women-respondent
•	</t>
    </r>
    <r>
      <rPr>
        <b/>
        <sz val="10"/>
        <color rgb="FF000000"/>
        <rFont val="Arial Narrow"/>
      </rPr>
      <t xml:space="preserve">By presence of children: </t>
    </r>
    <r>
      <rPr>
        <sz val="10"/>
        <color rgb="FF000000"/>
        <rFont val="Arial Narrow"/>
      </rPr>
      <t xml:space="preserve">HHs with children (HH member &lt;18 years old), HHs without children
•	</t>
    </r>
    <r>
      <rPr>
        <b/>
        <sz val="10"/>
        <color rgb="FF000000"/>
        <rFont val="Arial Narrow"/>
      </rPr>
      <t>By age of HH members:</t>
    </r>
    <r>
      <rPr>
        <sz val="10"/>
        <color rgb="FF000000"/>
        <rFont val="Arial Narrow"/>
      </rPr>
      <t xml:space="preserve"> Mixed HHs (both 60+ and under), Non-elderly HHs, Elderly HHs.
•	</t>
    </r>
    <r>
      <rPr>
        <b/>
        <sz val="10"/>
        <color rgb="FF000000"/>
        <rFont val="Arial Narrow"/>
      </rPr>
      <t>By gender of HH members</t>
    </r>
    <r>
      <rPr>
        <sz val="10"/>
        <color rgb="FF000000"/>
        <rFont val="Arial Narrow"/>
      </rPr>
      <t>: Men, Women</t>
    </r>
  </si>
  <si>
    <t>Contacts (Name &amp; email address)</t>
  </si>
  <si>
    <t>Cailean Mallon cailean.mallon@impact-initiatives.org</t>
  </si>
  <si>
    <t>Mackenzie Seaman mackenzie.seaman@impact-initiatives.org </t>
  </si>
  <si>
    <t>Sheets</t>
  </si>
  <si>
    <t>Sheet 1 - READ_ME</t>
  </si>
  <si>
    <t>Project description</t>
  </si>
  <si>
    <t>Sheet 2 - Table of content</t>
  </si>
  <si>
    <t xml:space="preserve">The Table of Contents displays the links to relevant Frequency Tables. To filter the tables of interest, select the (i) sector, and (ii) indicator of interest, using the slicers above the table. Click the links in the "Link to Frequency Table" column to access the data. </t>
  </si>
  <si>
    <t>Sheet 3 - Data</t>
  </si>
  <si>
    <t>The Data sheet contains the Frequency Tables.</t>
  </si>
  <si>
    <t xml:space="preserve">      REACH Ukraine | Multisectoral Needs Assessment (MSNA) 2024 | Table of Content for CCIA </t>
  </si>
  <si>
    <t>TO FILTER RELEVANT FREQUENCY TABLES:</t>
  </si>
  <si>
    <r>
      <t xml:space="preserve">STEP 1: SELECT THE </t>
    </r>
    <r>
      <rPr>
        <b/>
        <sz val="14"/>
        <color rgb="FFFF0000"/>
        <rFont val="Calibri"/>
        <family val="2"/>
        <scheme val="minor"/>
      </rPr>
      <t>SECTOR</t>
    </r>
  </si>
  <si>
    <r>
      <t xml:space="preserve">STEP 2: SELECT THE </t>
    </r>
    <r>
      <rPr>
        <b/>
        <sz val="14"/>
        <color rgb="FFFF0000"/>
        <rFont val="Calibri"/>
        <family val="2"/>
        <scheme val="minor"/>
      </rPr>
      <t>INDICATOR</t>
    </r>
  </si>
  <si>
    <r>
      <t xml:space="preserve">STEP 2: SELECT THE </t>
    </r>
    <r>
      <rPr>
        <b/>
        <sz val="14"/>
        <color rgb="FFFF0000"/>
        <rFont val="Calibri"/>
        <family val="2"/>
        <scheme val="minor"/>
      </rPr>
      <t>Disaggregations</t>
    </r>
  </si>
  <si>
    <t>Sector</t>
  </si>
  <si>
    <t>Indicator</t>
  </si>
  <si>
    <t>disaggregations</t>
  </si>
  <si>
    <t>ID</t>
  </si>
  <si>
    <t>Link</t>
  </si>
  <si>
    <t>Demographics</t>
  </si>
  <si>
    <t>Age of respondents</t>
  </si>
  <si>
    <t>displacement status HoH</t>
  </si>
  <si>
    <t xml:space="preserve">Percentage of Respondents Reportedly being Head of the Household (HoH) </t>
  </si>
  <si>
    <t>respondent gender</t>
  </si>
  <si>
    <t>Household size</t>
  </si>
  <si>
    <t>Age of Household members</t>
  </si>
  <si>
    <t>Percentage of household members by gender</t>
  </si>
  <si>
    <t>Percentage of Heads of Households, by highest level of education achieved</t>
  </si>
  <si>
    <t>Percentage of household members, by empoyment status</t>
  </si>
  <si>
    <t>HH member age, of employment age</t>
  </si>
  <si>
    <t>HH member gender</t>
  </si>
  <si>
    <t>urbanity</t>
  </si>
  <si>
    <t>Percentage of household members who have been looking for a job</t>
  </si>
  <si>
    <t>HH member age</t>
  </si>
  <si>
    <t>Health</t>
  </si>
  <si>
    <t>Percentage of Medical Facility where a newborn was born, by type</t>
  </si>
  <si>
    <t>Percentage of HHs members who reported having a medical problem in the last 3 months and needed to access health care</t>
  </si>
  <si>
    <t>Percentage of HHs members reporting being able to obtain healthcare</t>
  </si>
  <si>
    <t>Percentage of Household members with healthcare needs, by type of need</t>
  </si>
  <si>
    <t>Distance (minutes) to the nearest medical facility</t>
  </si>
  <si>
    <t>Percentage of HHs who sought any medicine in the last 3 months</t>
  </si>
  <si>
    <t>Percentage of Households that were able to obtain the medicine sought in the last 3 months</t>
  </si>
  <si>
    <t>Percentage of households unable to access medicines, by type of medicine sought</t>
  </si>
  <si>
    <t>Percentage of households unable to obtain medicine from Affordable Medicine Program</t>
  </si>
  <si>
    <t>Percentage of Households by reported reasons for not being able to obtain medicine from Affordable Medicine Program</t>
  </si>
  <si>
    <t>Percentage of Households reporting barriers while accessing healthcare/medication, by barrier</t>
  </si>
  <si>
    <t>Percentage of Households where women (12-49 y.o.) know where to get information sexual and reproductive health services</t>
  </si>
  <si>
    <t>Percentage of Households experiencing notable stress in the last 6 months</t>
  </si>
  <si>
    <t>proximity to frontline and Russian border</t>
  </si>
  <si>
    <t>Percentage of Households experiencing depressed mood in the last 6 months</t>
  </si>
  <si>
    <t>Percentage of Households experiencing at least 2 weeks of anxiety in the last 6 months</t>
  </si>
  <si>
    <t>Percentage of Households with at least 1 member with registered disability status</t>
  </si>
  <si>
    <t>Percentage of Households with at least 1 member who has difficulties seeing</t>
  </si>
  <si>
    <t>Percentage of Households with at least 1 member who has difficulties hearing</t>
  </si>
  <si>
    <t>Percentage of Households with at least 1 member who has difficulties walking</t>
  </si>
  <si>
    <t>Percentage of Households with at least 1 member who has difficulties concentrating</t>
  </si>
  <si>
    <t>Percentage of Households with at least 1 member who has difficulties with self-care</t>
  </si>
  <si>
    <t>Percentage of Households with at least 1 member who has difficulties communicating</t>
  </si>
  <si>
    <t>Displacement</t>
  </si>
  <si>
    <t>Percentage of households separated for three months or more due to reasons related to the war</t>
  </si>
  <si>
    <t>Percentage of former refugees households</t>
  </si>
  <si>
    <t>Percentage of households which are IDPs, by length of displacement</t>
  </si>
  <si>
    <t>Percentage of households reporting reasons for return, by reason</t>
  </si>
  <si>
    <t>Percentage of households reporting their movement intentions for the next 12 months</t>
  </si>
  <si>
    <t>Percentage of households that have registered IDP members</t>
  </si>
  <si>
    <t>Education</t>
  </si>
  <si>
    <t>Percentage of children (5-18 y.o) from assessed HHs who attended school or early education program during 2023-2024 years</t>
  </si>
  <si>
    <t>Percentage of children (5-18 y.o) from assessed HHs who attended school during 2023-2024, by learning modality</t>
  </si>
  <si>
    <t>Percentage of children  (5-18 y.o) from assessed HHs who attended school, by grade</t>
  </si>
  <si>
    <t>Percentage of children (5 to 18 y.o.) NOT attending school or any early childhood education program at any time during the 2023-2024 school year, by main reason</t>
  </si>
  <si>
    <t>Percentage of Households with school-aged children (5-18 y.o) that reported education disruption because of displacement/evacuation</t>
  </si>
  <si>
    <t>Percentage of Households with school-aged children (5-18 y.o) that reported education disruption because of school damage</t>
  </si>
  <si>
    <t>Percentage of Households with school-aged children (5-18 y.o) that reported education disruption because of home damage</t>
  </si>
  <si>
    <t>Percentage of Households with school-aged children (5-18 y.o) that reported education disruption because of missile attack</t>
  </si>
  <si>
    <t>Time spent supporting children with education</t>
  </si>
  <si>
    <t>Livelihoods</t>
  </si>
  <si>
    <t>Households reporting types of expenditures they had in the last 30 days, by type</t>
  </si>
  <si>
    <t>Household Domestic Expenditure over the last 30 days, by type and amount</t>
  </si>
  <si>
    <t>Average Household Expenditure on Heating</t>
  </si>
  <si>
    <t>Households reporting types of expenditures they had in the last 6 months, by type</t>
  </si>
  <si>
    <t>Household Domestic Expenditure over the last 6 months by type and amount</t>
  </si>
  <si>
    <t>Total monthly expenditure PER CAPITA among those who reported any expenditure</t>
  </si>
  <si>
    <t>Total monthly expenditure among those who reported any expenditure</t>
  </si>
  <si>
    <t>Percentage of household missing essential non-food items, by item</t>
  </si>
  <si>
    <t>Prevalence of Primary Income Sources Reported by Households Over the Last 30 Days Prior to DC</t>
  </si>
  <si>
    <t>Household income over the 30 days prior to data collection, by types of income source</t>
  </si>
  <si>
    <t>Total income per capita among those who reported any income</t>
  </si>
  <si>
    <t>Household income per Capita, by types of income source</t>
  </si>
  <si>
    <t>Total income per household among those who reported any income</t>
  </si>
  <si>
    <t>Percentage of households currently indebted</t>
  </si>
  <si>
    <t>Percentage of households currently indebted, by reason</t>
  </si>
  <si>
    <t>Percentange of households facing barriers to access marketplaces, by barrier</t>
  </si>
  <si>
    <t>Percentage of households adopting Livelihood Coping Strategies, by strategy</t>
  </si>
  <si>
    <t>Prevalence of Reported reasons for adopting Livelihood Coping Strategies</t>
  </si>
  <si>
    <t>Livelihood Coping Strategy - Essential Needs (LCS-EN)</t>
  </si>
  <si>
    <t>Protection</t>
  </si>
  <si>
    <t>Percentage of Households reporting security factors affecting their sense of safety, by factor</t>
  </si>
  <si>
    <t>Percentage of households reporting social tension and/or discrimination within the community, by reason</t>
  </si>
  <si>
    <t>Percentage of households reporting being concerned about having any HH member engaging in risky activities due to the economic needs</t>
  </si>
  <si>
    <t>Percentage of households that reported being concerned about being forced to flee their home</t>
  </si>
  <si>
    <t>Percentage of households reporting safety and security concerns for women, by concern</t>
  </si>
  <si>
    <t>Percentage of households reporting at least one female member of the household felt unsafe walking in their community, by frequency</t>
  </si>
  <si>
    <t>Prevalence of places women avoid because of security concerns</t>
  </si>
  <si>
    <t>Percentage of households reporting safety and security concerns for men, by concern</t>
  </si>
  <si>
    <t>Percentage of households reporting safety and security concerns for children, by concern</t>
  </si>
  <si>
    <t>presence of children in HH</t>
  </si>
  <si>
    <t>Percentage of households reporting HLP (housing/land/property) concerns, by concern</t>
  </si>
  <si>
    <t>Protection - Mine Action</t>
  </si>
  <si>
    <t>Frequency of training on safe behaviours towards Explosive Ordnances</t>
  </si>
  <si>
    <t>Percentage of communities with Explosive Ordnances present</t>
  </si>
  <si>
    <t>Percentage of Households Reporting that Explosive Ordnance Affect the Livelihoods of People within their Community</t>
  </si>
  <si>
    <t>SNFI</t>
  </si>
  <si>
    <t>Percentage of Households, by shelter situation</t>
  </si>
  <si>
    <t>Percentage of Households, by shelter type</t>
  </si>
  <si>
    <t>Average shelter size</t>
  </si>
  <si>
    <t>Average number of individuals sharing a shelter</t>
  </si>
  <si>
    <t>Shelter overcrowding</t>
  </si>
  <si>
    <t>Prevalence of Shelter Occupancy Arrangement reported, by type</t>
  </si>
  <si>
    <t>Percentage of households feeling at risk of eviction</t>
  </si>
  <si>
    <t>Percentage of households reporting shelter issues that were NOT caused by the war, by issue</t>
  </si>
  <si>
    <t>Percentage of Households reporting shelter damage due to war, by type</t>
  </si>
  <si>
    <t>Percentage of Households reporting shelter damage due to war, by severity</t>
  </si>
  <si>
    <t>Percentage of Households experiencing issues while cooking</t>
  </si>
  <si>
    <t>Percentage of Households experiencing issues while sleeping</t>
  </si>
  <si>
    <t>Prevalence of main heating source, by type</t>
  </si>
  <si>
    <t>Percentage of Households experiencing issues while storing food</t>
  </si>
  <si>
    <t>Percentage of Households experiencing issues with electricity</t>
  </si>
  <si>
    <t>Percentage of Households reporting utility interruptions, by utility</t>
  </si>
  <si>
    <t>Percentage of households by access to alternative source of power</t>
  </si>
  <si>
    <t>Percentage of households having access to the Internet, by frequency</t>
  </si>
  <si>
    <t>Percentange of households accessing to internet, by source</t>
  </si>
  <si>
    <t>Distance to nearest bomb shelter</t>
  </si>
  <si>
    <t>Percentage of Households reporting damage to the shelter in the area of origin, by damage type</t>
  </si>
  <si>
    <t>Percentage of Households reporting damage to the shelter in the area of origin, by severity</t>
  </si>
  <si>
    <t>WASH</t>
  </si>
  <si>
    <t>Prevalence of reported main sources of drinking water, by type</t>
  </si>
  <si>
    <t>Average time (minutes) to fetch water</t>
  </si>
  <si>
    <t>Percentage of HHs assessing drinking water, by quality</t>
  </si>
  <si>
    <t>Percentage of HHs treating drinking water</t>
  </si>
  <si>
    <t>Average number of days without sufficient drinking water</t>
  </si>
  <si>
    <t>Prevalence of water sources for domestic purposes, by type</t>
  </si>
  <si>
    <t>Percentage of HHs reporting having enough water for technical needs</t>
  </si>
  <si>
    <t>Percentage of HHs reporting having issues with performing personal hyigiene</t>
  </si>
  <si>
    <t>Percentage of HHs reporting having issues with performing personal hyigiene, by reported reason</t>
  </si>
  <si>
    <t>Prevalence of handwashing facilities used, by type</t>
  </si>
  <si>
    <t>Percentage of Households having soap in their household</t>
  </si>
  <si>
    <t>Prevalence of toilet facilities used, by type</t>
  </si>
  <si>
    <t>Percentage of households sharing sanitation facilities</t>
  </si>
  <si>
    <t>Average number of households sharing sanitation facilities</t>
  </si>
  <si>
    <t>Percentage of households with access to adequate toilets</t>
  </si>
  <si>
    <t>Prevalence of garbage disposal method, by type</t>
  </si>
  <si>
    <t>Prevalence of reported issues with sewage, by type</t>
  </si>
  <si>
    <t>Percentage of Households reportedly struggling to obtain enough money to cover household daily needs</t>
  </si>
  <si>
    <t>Percentage of Household reporting Challenges to Obtain Money to Meet Basic Needs, by challenge</t>
  </si>
  <si>
    <t>Food Security</t>
  </si>
  <si>
    <t>Percentage of households adopting reduced coping strategies, by strategy (rCSI)</t>
  </si>
  <si>
    <t>Household Hunger Scale (HHS)</t>
  </si>
  <si>
    <t>AAP</t>
  </si>
  <si>
    <t>Prevalence of most significant challenges reported by HHs, by type</t>
  </si>
  <si>
    <t>Prevalence of preferred support from aid actors reported by HHs, by type</t>
  </si>
  <si>
    <t>Prevalence of preferred modality of assistance reported by HHs</t>
  </si>
  <si>
    <t>Prevalence of preferred modality of assistance per aid type</t>
  </si>
  <si>
    <t>Percentage of Households who have received humanitarian assistance</t>
  </si>
  <si>
    <t>Prevalence of reported barriers to accessing aid in the last 12 months</t>
  </si>
  <si>
    <t>Percentage of HHs who were satisfied with the aid received</t>
  </si>
  <si>
    <t>Percentage of HH reporting feeling involved in aid distribution</t>
  </si>
  <si>
    <t>Prevalence of preferred mean of communication from aid provider, by type</t>
  </si>
  <si>
    <t>Prevalence of preferred language of communication with aid providers</t>
  </si>
  <si>
    <t>Percentage of HH reporting cuts in assistance from the governments, by type</t>
  </si>
  <si>
    <t>Percentage of HHs  requiring legal assistance, by type</t>
  </si>
  <si>
    <t>Percentage of HHs requiring social or services provided by the government</t>
  </si>
  <si>
    <t>Percentage of HHs reportedly facing barriers while accessing services provided by the government, by barrier</t>
  </si>
  <si>
    <t>Percentage of households reporting available services for women in their community, by type</t>
  </si>
  <si>
    <t xml:space="preserve">Households reporting needed services related to children's well-being </t>
  </si>
  <si>
    <t>Age of respondents broken down by displacement status of HoH on the admin of macroregion</t>
  </si>
  <si>
    <t>admin_category</t>
  </si>
  <si>
    <t>disaggregations_category_1</t>
  </si>
  <si>
    <t>mean</t>
  </si>
  <si>
    <t>median</t>
  </si>
  <si>
    <t>min</t>
  </si>
  <si>
    <t>max</t>
  </si>
  <si>
    <t>sample_count</t>
  </si>
  <si>
    <t>full_count</t>
  </si>
  <si>
    <t>Center</t>
  </si>
  <si>
    <t>IDP HHs</t>
  </si>
  <si>
    <t>East</t>
  </si>
  <si>
    <t>North</t>
  </si>
  <si>
    <t>South</t>
  </si>
  <si>
    <t>West</t>
  </si>
  <si>
    <t>Returnee HHs</t>
  </si>
  <si>
    <t>Total</t>
  </si>
  <si>
    <t>A_18 Respondents Reportedly being Head of the Household (HoH)  broken down by gender of respondent on the admin of macroregion</t>
  </si>
  <si>
    <t>disaggregations_category_2</t>
  </si>
  <si>
    <t>No</t>
  </si>
  <si>
    <t>Yes</t>
  </si>
  <si>
    <t>Men-respondents</t>
  </si>
  <si>
    <t>Women-respondents</t>
  </si>
  <si>
    <t>B_2 Household size broken down by displacement status of HoH on the admin of macroregion</t>
  </si>
  <si>
    <t>B_5 Age of Household members broken down by displacement status of HoH on the admin of macroregion</t>
  </si>
  <si>
    <t>B_7 Gender of Household members broken down by displacement status of HoH on the admin of macroregion</t>
  </si>
  <si>
    <t>Man / boy</t>
  </si>
  <si>
    <t>Prefer not to answer</t>
  </si>
  <si>
    <t>Woman / girl</t>
  </si>
  <si>
    <t>B_12 Education of Heads of Households broken down by displacement status of HoH on the admin of macroregion</t>
  </si>
  <si>
    <t>Basic general secondary</t>
  </si>
  <si>
    <t>Complete general secondary</t>
  </si>
  <si>
    <t>Do not know</t>
  </si>
  <si>
    <t>Doctor of Sciences</t>
  </si>
  <si>
    <t>No education completed</t>
  </si>
  <si>
    <t>PhD</t>
  </si>
  <si>
    <t>Primary school</t>
  </si>
  <si>
    <t>University degree</t>
  </si>
  <si>
    <t>Vocational, technical education</t>
  </si>
  <si>
    <t>B_12 Education of Heads of Households broken down by rural / urban on the admin of macroregion</t>
  </si>
  <si>
    <t>rural</t>
  </si>
  <si>
    <t>urban</t>
  </si>
  <si>
    <t>E_2 Employment status of Household members broken down by displacement status of HoH on the admin of macroregion</t>
  </si>
  <si>
    <t>Daily or casual labor</t>
  </si>
  <si>
    <t>Informal employment</t>
  </si>
  <si>
    <t>Military service</t>
  </si>
  <si>
    <t>Military service and serving away from the settlement</t>
  </si>
  <si>
    <t>Other (specify)</t>
  </si>
  <si>
    <t>Own business</t>
  </si>
  <si>
    <t>Permanent job with annual / monthly / weekly wage</t>
  </si>
  <si>
    <t>Permanently sick or disabled (can't work)</t>
  </si>
  <si>
    <t>Retired</t>
  </si>
  <si>
    <t>Self-employed/freelance</t>
  </si>
  <si>
    <t>Student /student and working</t>
  </si>
  <si>
    <t>Student /student but not working</t>
  </si>
  <si>
    <t>Temporary job/seasonal job with annual / monthly / weekly wage</t>
  </si>
  <si>
    <t>Unemployed</t>
  </si>
  <si>
    <t>Unpaid work (e.g. looking after children, looking after the elderly, housework, etc.)</t>
  </si>
  <si>
    <t>E_2 Employment status of Household members broken down by age of household members of employment age on the admin of macroregion</t>
  </si>
  <si>
    <t>15-17 y.o.</t>
  </si>
  <si>
    <t>60+ y.o.</t>
  </si>
  <si>
    <t>18-29 y.o.</t>
  </si>
  <si>
    <t>45-59 y.o.</t>
  </si>
  <si>
    <t>30-44 y.o.</t>
  </si>
  <si>
    <t>E_2 Employment status of Household members broken down by gender of household members of employment age on the admin of macroregion</t>
  </si>
  <si>
    <t>Men</t>
  </si>
  <si>
    <t>Women</t>
  </si>
  <si>
    <t>E_2 Employment status of Household members broken down by rural / urban on the admin of macroregion</t>
  </si>
  <si>
    <t>E_3 Household members who reportedly sought job in the past 4 weeks  broken down by displacement status of HoH on the admin of macroregion</t>
  </si>
  <si>
    <t>No, not looking for a job</t>
  </si>
  <si>
    <t>Yes, and ready to start within 2 weeks</t>
  </si>
  <si>
    <t>Yes, but not ready to start within 2 weeks</t>
  </si>
  <si>
    <t>E_3 Household members who reportedly sought job in the past 4 weeks  broken down by age of household members of employment age on the admin of macroregion</t>
  </si>
  <si>
    <t>E_3 Household members who reportedly sought job in the past 4 weeks  broken down by gender of household members of employment age on the admin of macroregion</t>
  </si>
  <si>
    <t>E_3 Household members who reportedly sought job in the past 4 weeks  broken down by rural / urban on the admin of macroregion</t>
  </si>
  <si>
    <t>E_4 Employment barriers faced by household members that sought job in the last 4 weeks broken down by displacement status of HoH on the admin of macroregion</t>
  </si>
  <si>
    <t>Discrimination</t>
  </si>
  <si>
    <t>Lack of ability to invest in own business</t>
  </si>
  <si>
    <t>Lack of means of transportation</t>
  </si>
  <si>
    <t>Lack of necessary documents</t>
  </si>
  <si>
    <t>Lack of opportunities in the area</t>
  </si>
  <si>
    <t>Lack of qualification</t>
  </si>
  <si>
    <t>Need to care for children / sick / elderly family member</t>
  </si>
  <si>
    <t xml:space="preserve">None </t>
  </si>
  <si>
    <t>Not satisfied with salaries / working conditions</t>
  </si>
  <si>
    <t>Sickness or disability</t>
  </si>
  <si>
    <t>E_4 Employment barriers faced by household members that sought job in the last 4 weeks broken down by age of household members of employment age on the admin of macroregion</t>
  </si>
  <si>
    <t>E_4 Employment barriers faced by household members that sought job in the last 4 weeks broken down by gender of household members of employment age on the admin of macroregion</t>
  </si>
  <si>
    <t>E_4 Employment barriers faced by household members that sought job in the last 4 weeks broken down by rural / urban on the admin of macroregion</t>
  </si>
  <si>
    <t>B_8 Medical Facility where a newborn was born broken down by displacement status of HoH on the admin of macroregion</t>
  </si>
  <si>
    <t>At home (relative/friend)</t>
  </si>
  <si>
    <t>In government hospital/health center or post (doctor/nurse/midwife)</t>
  </si>
  <si>
    <t>Private hospital or clinic (doctor/nurse/midwife )</t>
  </si>
  <si>
    <t>D_3 Household members that had a medical problem in the last 3 months and needed to access healthcare broken down by displacement status of HoH on the admin of macroregion</t>
  </si>
  <si>
    <t>D_3 Household members that had a medical problem in the last 3 months and needed to access healthcare broken down by age of household members on the admin of macroregion</t>
  </si>
  <si>
    <t>1-4 y.o.</t>
  </si>
  <si>
    <t>55-59 y.o.</t>
  </si>
  <si>
    <t>50-54 y.o.</t>
  </si>
  <si>
    <t>5-9 y.o.</t>
  </si>
  <si>
    <t>45-49 y.o.</t>
  </si>
  <si>
    <t>40-44 y.o.</t>
  </si>
  <si>
    <t>35-39 y.o.</t>
  </si>
  <si>
    <t>25-29 y.o.</t>
  </si>
  <si>
    <t>18-24 y.o.</t>
  </si>
  <si>
    <t>30-34 y.o.</t>
  </si>
  <si>
    <t>10-14 y.o.</t>
  </si>
  <si>
    <t>D_3 Household members that had a medical problem in the last 3 months and needed to access healthcare broken down by rural / urban on the admin of macroregion</t>
  </si>
  <si>
    <t>D_5 Household members by reported ability to obtain healthcare when they needed it broken down by displacement status of HoH on the admin of macroregion</t>
  </si>
  <si>
    <t>D_5 Household members by reported ability to obtain healthcare when they needed it broken down by rural / urban on the admin of macroregion</t>
  </si>
  <si>
    <t>D_4 Household members that reportedly needed healthcare by type of need broken down by displacement status of HoH on the admin of macroregion</t>
  </si>
  <si>
    <t>Ante-natal or post-natal services</t>
  </si>
  <si>
    <t>Consultation or drugs for acute illness (fever, diarrhoea, cough, etc.)</t>
  </si>
  <si>
    <t xml:space="preserve">Consultation or drugs for chronic illness (diabetes, hypertension, etc.) </t>
  </si>
  <si>
    <t>Consultation or drugs for other illnesses</t>
  </si>
  <si>
    <t>Elective, non-life saving surgery</t>
  </si>
  <si>
    <t>Emergency, life saving surgery</t>
  </si>
  <si>
    <t>Preventative consultation / check-up</t>
  </si>
  <si>
    <t>Safe delivery services</t>
  </si>
  <si>
    <t>Trauma care (injury, accident, conflict-related wounds)</t>
  </si>
  <si>
    <t>D_4 Household members that reportedly needed healthcare by type of need broken down by rural / urban on the admin of macroregion</t>
  </si>
  <si>
    <t>Distance to the nearest medical facility broken down by displacement status of HoH on the admin of macroregion</t>
  </si>
  <si>
    <t>Households that reportedly sought any medicine in the last 3 months broken down by displacement status of HoH on the admin of macroregion</t>
  </si>
  <si>
    <t>Households that reportedly sought any medicine in the last 3 months broken down by rural / urban on the admin of macroregion</t>
  </si>
  <si>
    <t>Households that were able to obtain the medicine they sought in the last 3 months broken down by displacement status of HoH on the admin of macroregion</t>
  </si>
  <si>
    <t>Households that were able to obtain the medicine they sought in the last 3 months broken down by rural / urban on the admin of macroregion</t>
  </si>
  <si>
    <t>Households by types of medicines sought in the last 3 months broken down by displacement status of HoH on the admin of macroregion</t>
  </si>
  <si>
    <t>Medicines for allergies</t>
  </si>
  <si>
    <t>Medicines for birth control</t>
  </si>
  <si>
    <t xml:space="preserve">Medicines for high blood pressure </t>
  </si>
  <si>
    <t>Medicines for infections</t>
  </si>
  <si>
    <t>Medicines for long-term lung problems (like asthma)</t>
  </si>
  <si>
    <t>Medicines for mental health conditions</t>
  </si>
  <si>
    <t>Medicines for pain</t>
  </si>
  <si>
    <t>Medicines for the neurologic/nervous system diseases e.g. epilepsy and others</t>
  </si>
  <si>
    <t>Medicines for thyroid problems</t>
  </si>
  <si>
    <t>Medicines to prevent or treat cancer</t>
  </si>
  <si>
    <t xml:space="preserve">Medicines to prevent or treat heart problems </t>
  </si>
  <si>
    <t>Medicines to regulate blood sugar</t>
  </si>
  <si>
    <t>Other  (specify)</t>
  </si>
  <si>
    <t>Households that reportedly were unable to obtain medicine from Affordable Medicine Program broken down by displacement status of HoH on the admin of macroregion</t>
  </si>
  <si>
    <t>Households by reported reasons for not being able to obtain medicine from Affordable Medicine Program broken down by displacement status of HoH on the admin of macroregion</t>
  </si>
  <si>
    <t>Medicine was not available in the pharmacy</t>
  </si>
  <si>
    <t xml:space="preserve">Problems with the prescription </t>
  </si>
  <si>
    <t xml:space="preserve">Security concern (either getting to/from or being in the pharmacy) </t>
  </si>
  <si>
    <t>Households reporting barriers while accessing healthcare/medication broken down by displacement status of HoH on the admin of macroregion</t>
  </si>
  <si>
    <t>Cost of medicine</t>
  </si>
  <si>
    <t>Cost of treatment</t>
  </si>
  <si>
    <t xml:space="preserve">Did not have the needed documents </t>
  </si>
  <si>
    <t>Lack of medical facilities / facilities difficult to access</t>
  </si>
  <si>
    <t>Lack of pharmacies / pharmacies difficult to access</t>
  </si>
  <si>
    <t>Refusal to provide service / medicine</t>
  </si>
  <si>
    <t>Security concerns (during travel or while being in the facility / seeking medicine)</t>
  </si>
  <si>
    <t>The need for unofficial payments</t>
  </si>
  <si>
    <t xml:space="preserve">The needed services/ medicine were not available </t>
  </si>
  <si>
    <t>Time necessary to access the services and/or access medicine</t>
  </si>
  <si>
    <t>Transport necessary to get to the services / access medicine</t>
  </si>
  <si>
    <t>Households with women (12-49 y.o.) reportedly having the information on where to access sexual and reproductive health services broken down by displacement status of HoH on the admin of macroregion</t>
  </si>
  <si>
    <t>Households reportedly experiencing at least 2 weeks of notable stress in the last 6 months broken down by displacement status of HoH on the admin of macroregion</t>
  </si>
  <si>
    <t>Households reportedly experiencing at least 2 weeks of notable stress in the last 6 months broken down by rural / urban on the admin of macroregion</t>
  </si>
  <si>
    <t>Households reportedly experiencing at least 2 weeks of notable stress in the last 6 months broken down by proximity to the Frontline / Russian border on the admin of macroregion</t>
  </si>
  <si>
    <t>HHs living in settlements away from the frontline or russian border</t>
  </si>
  <si>
    <t>HHs living in settlements from 30 to 100 km from the frontline or russian border</t>
  </si>
  <si>
    <t>HHs living in settlements up to 30 km to the frontline or russian border</t>
  </si>
  <si>
    <t>Households reportedly experiencing at least 2 weeks of depressed mood in the last 6 months broken down by displacement status of HoH on the admin of macroregion</t>
  </si>
  <si>
    <t>Households reportedly experiencing at least 2 weeks of depressed mood in the last 6 months broken down by rural / urban on the admin of macroregion</t>
  </si>
  <si>
    <t>Households reportedly experiencing at least 2 weeks of depressed mood in the last 6 months broken down by proximity to the Frontline / Russian border on the admin of macroregion</t>
  </si>
  <si>
    <t>Households reportedly experiencing at least 2 weeks of anxiety in the last 6 months broken down by displacement status of HoH on the admin of macroregion</t>
  </si>
  <si>
    <t>Households reportedly experiencing at least 2 weeks of anxiety in the last 6 months broken down by rural / urban on the admin of macroregion</t>
  </si>
  <si>
    <t>Households reportedly experiencing at least 2 weeks of anxiety in the last 6 months broken down by proximity to the Frontline / Russian border on the admin of macroregion</t>
  </si>
  <si>
    <t>Households that reportedly have at least 1 member that has registered disability broken down by displacement status of HoH on the admin of macroregion</t>
  </si>
  <si>
    <t>Yes, but unsure which group</t>
  </si>
  <si>
    <t>Yes, group I</t>
  </si>
  <si>
    <t>Yes, group II</t>
  </si>
  <si>
    <t>Yes, group III</t>
  </si>
  <si>
    <t>Households that reportedly have at least 1 member that has registered disability broken down by rural / urban on the admin of macroregion</t>
  </si>
  <si>
    <t>Households that reportedly have at least 1 member that has difficulties seeing broken down by displacement status of HoH on the admin of macroregion</t>
  </si>
  <si>
    <t>A lot of difficulty</t>
  </si>
  <si>
    <t>Cannot do at all</t>
  </si>
  <si>
    <t>No household members have any difficulties</t>
  </si>
  <si>
    <t>Some difficulty</t>
  </si>
  <si>
    <t>Households that reportedly have at least 1 member that has difficulties hearing broken down by displacement status of HoH on the admin of macroregion</t>
  </si>
  <si>
    <t>Households that reportedly have at least 1 member that has difficulties walking broken down by displacement status of HoH on the admin of macroregion</t>
  </si>
  <si>
    <t>Households that reportedly have at least 1 member that has difficulties concentrating broken down by displacement status of HoH on the admin of macroregion</t>
  </si>
  <si>
    <t>Households that reportedly have at least 1 member that has difficulties with self-care broken down by displacement status of HoH on the admin of macroregion</t>
  </si>
  <si>
    <t>Households that reportedly have at least 1 member that has difficulties communicating broken down by displacement status of HoH on the admin of macroregion</t>
  </si>
  <si>
    <t>Households separated for three months or more due to reasons related to the war broken down by displacement status of HoH on the admin of macroregion</t>
  </si>
  <si>
    <t>No, no member of the household was separated at any point.</t>
  </si>
  <si>
    <t>Yes, at least one household member was separated for at least 3 months and is still not back in the household to this day;</t>
  </si>
  <si>
    <t>Yes, at least one household member was separated for at least 3 months but is now back in the household;</t>
  </si>
  <si>
    <t>Households that moved abroad for at least 14 days broken down by displacement status of HoH on the admin of macroregion</t>
  </si>
  <si>
    <t>IDP households and households displaced within settlement duration in current place of residence broken down by displacement status of HoH on the admin of macroregion</t>
  </si>
  <si>
    <t>1 month or more but less than 3 months</t>
  </si>
  <si>
    <t>12 months or more</t>
  </si>
  <si>
    <t>3 months or more but less than 6 months</t>
  </si>
  <si>
    <t>6 months or more but less than 9 months</t>
  </si>
  <si>
    <t>9 months or more but less than 12 months</t>
  </si>
  <si>
    <t>&lt; 1 month</t>
  </si>
  <si>
    <t>Households reporting reasons for return to their habitual place of residence broken down by rural / urban on the admin of macroregion</t>
  </si>
  <si>
    <t>Accommodation challenges in location of displacement (i.e. unable to access adequate and/or affordable accommodation in previous area)</t>
  </si>
  <si>
    <t>Discrimination in location of displacement</t>
  </si>
  <si>
    <t xml:space="preserve">Do not know </t>
  </si>
  <si>
    <t xml:space="preserve">Economic challenges in location of displacement (i.e., unable to access adequate employment opportunities) </t>
  </si>
  <si>
    <t>Economic opportunities in location of origin (i.e., return to old workplace/ available vacancies)</t>
  </si>
  <si>
    <t>Educational reasons  (difficulty accessing such services)</t>
  </si>
  <si>
    <t xml:space="preserve">Loss access to IDP benefits </t>
  </si>
  <si>
    <t>Medical reasons (difficulty accessing such services)</t>
  </si>
  <si>
    <t xml:space="preserve">Need to secure personal housing. land or property in location of origin </t>
  </si>
  <si>
    <t xml:space="preserve">Obtaining new or replacing old documentation </t>
  </si>
  <si>
    <t>Personal reasons (family reunification)</t>
  </si>
  <si>
    <t>Security situation improved in location of origin</t>
  </si>
  <si>
    <t xml:space="preserve">Security situation worsened in location of displacement </t>
  </si>
  <si>
    <t>Households reporting reasons for return to their habitual place of residence broken down by proximity to the Frontline / Russian border on the admin of macroregion</t>
  </si>
  <si>
    <t>Households reporting their movement intentions for the next 12 months broken down by displacement status of HoH on the admin of macroregion</t>
  </si>
  <si>
    <t>Plan to go abroad</t>
  </si>
  <si>
    <t>Plan to move elsewhere in the country (not place of origin)</t>
  </si>
  <si>
    <t>Plan to move to a different place in same city/area (not within the same neighbourhood)</t>
  </si>
  <si>
    <t>Plan to move to a different place within the same neighbourhood</t>
  </si>
  <si>
    <t>Plan to return to habitual place of residence</t>
  </si>
  <si>
    <t>Plan to stay and live/work in this location</t>
  </si>
  <si>
    <t>Uncertain</t>
  </si>
  <si>
    <t>Households reporting their movement intentions for the next 12 months broken down by rural / urban on the admin of macroregion</t>
  </si>
  <si>
    <t>Households reporting their movement intentions for the next 12 months broken down by proximity to the Frontline / Russian border on the admin of macroregion</t>
  </si>
  <si>
    <t>Households that reportedly have registered IDP members broken down by displacement status of HoH on the admin of macroregion</t>
  </si>
  <si>
    <t>No, none</t>
  </si>
  <si>
    <t>Yes, all</t>
  </si>
  <si>
    <t>Yes, some</t>
  </si>
  <si>
    <t>Household members (5-18 y.o) reportedly attending school or early education program during 2023-2024 years broken down by displacement status of HoH on the admin of macroregion</t>
  </si>
  <si>
    <t>Household members (5-18 y.o) reportedly attending school or early education program during 2023-2024 years broken down by rural / urban on the admin of macroregion</t>
  </si>
  <si>
    <t>Household members (5-18 y.o) reportedly attending school or early education program during 2023-2024 years broken down by proximity to the Frontline / Russian border on the admin of macroregion</t>
  </si>
  <si>
    <t>Household members (5-18 y.o) who attended school by learning modality broken down by displacement status of HoH on the admin of macroregion</t>
  </si>
  <si>
    <t>Blended (remote and in-person)</t>
  </si>
  <si>
    <t>In-person</t>
  </si>
  <si>
    <t>Remote</t>
  </si>
  <si>
    <t>Household members (5-18 y.o) who attended school by learning modality broken down by rural / urban on the admin of macroregion</t>
  </si>
  <si>
    <t>Household members (5-18 y.o) who attended school by learning modality broken down by proximity to the Frontline / Russian border on the admin of macroregion</t>
  </si>
  <si>
    <t>Household members (5-18 y.o) who attended school by grade broken down by displacement status of HoH on the admin of macroregion</t>
  </si>
  <si>
    <t>High school - grade 11</t>
  </si>
  <si>
    <t>High school -grade 10</t>
  </si>
  <si>
    <t>Preschool</t>
  </si>
  <si>
    <t>Primary school -grade 1</t>
  </si>
  <si>
    <t>Primary school -grade 2</t>
  </si>
  <si>
    <t>Primary school -grade 3</t>
  </si>
  <si>
    <t>Primary school -grade 4</t>
  </si>
  <si>
    <t>Secondary school - grade 5</t>
  </si>
  <si>
    <t>Secondary school - grade 6</t>
  </si>
  <si>
    <t>Secondary school - grade 7</t>
  </si>
  <si>
    <t>Secondary school - grade 8</t>
  </si>
  <si>
    <t>Secondary school - grade 9</t>
  </si>
  <si>
    <t>University</t>
  </si>
  <si>
    <t>Vocational Education and Training (VET)</t>
  </si>
  <si>
    <t>Household members (5-18 y.o) reporting reasons for not attending schools broken down by displacement status of HoH on the admin of macroregion</t>
  </si>
  <si>
    <t>Cannot afford the direct costs of education (e.g. tuition, supplies, transportation)</t>
  </si>
  <si>
    <t>Discrimination or stigmatization of the child for any reason</t>
  </si>
  <si>
    <t>Inadequate or damaged infrastructure for learning in a safe environment (e.g. no or damaged school facilities, no or inadequate bomb shelter)</t>
  </si>
  <si>
    <t>Lack of or poor quality of teachers</t>
  </si>
  <si>
    <t xml:space="preserve">Lack of quiet and safe space to attend or listen to online learning classes </t>
  </si>
  <si>
    <t xml:space="preserve">Prefer not to answer </t>
  </si>
  <si>
    <t>Protection risks while at or traveling to the school (e.g. missile attacks)</t>
  </si>
  <si>
    <t>The child has already completed compulsory school grades / too young to attend school</t>
  </si>
  <si>
    <t>The child's disability or other health issues prevents them from accessing school</t>
  </si>
  <si>
    <t>The quality of learning for the child is lower than with face-to-face classes</t>
  </si>
  <si>
    <t>There is a lack of interest/Education is not a priority either for the child or the household</t>
  </si>
  <si>
    <t>Unable to enrol in school due to lack of enrolment space</t>
  </si>
  <si>
    <t>Unable to enrol in school due to recent displacement/evacuation/return</t>
  </si>
  <si>
    <t>Households with school-aged children (5-18 y.o) that reported education disruption because of displacement/evacuation broken down by displacement status of HoH on the admin of macroregion</t>
  </si>
  <si>
    <t>Households with school-aged children (5-18 y.o) that reported education disruption because of displacement/evacuation broken down by rural / urban on the admin of macroregion</t>
  </si>
  <si>
    <t>Households with school-aged children (5-18 y.o) that reported education disruption because of displacement/evacuation broken down by proximity to the Frontline / Russian border on the admin of macroregion</t>
  </si>
  <si>
    <t>Households with school-aged children (5-18 y.o) that reported education disruption because of school damage broken down by displacement status of HoH on the admin of macroregion</t>
  </si>
  <si>
    <t>Households with school-aged children (5-18 y.o) that reported education disruption because of school damage broken down by rural / urban on the admin of macroregion</t>
  </si>
  <si>
    <t>Households with school-aged children (5-18 y.o) that reported education disruption because of school damage broken down by proximity to the Frontline / Russian border on the admin of macroregion</t>
  </si>
  <si>
    <t>Households with school-aged children (5-18 y.o) that reported education disruption because of home damage broken down by displacement status of HoH on the admin of macroregion</t>
  </si>
  <si>
    <t>Households with school-aged children (5-18 y.o) that reported education disruption because of home damage broken down by rural / urban on the admin of macroregion</t>
  </si>
  <si>
    <t>Households with school-aged children (5-18 y.o) that reported education disruption because of home damage broken down by proximity to the Frontline / Russian border on the admin of macroregion</t>
  </si>
  <si>
    <t>Households with school-aged children (5-18 y.o) that reported education disruption because of missile attack broken down by displacement status of HoH on the admin of macroregion</t>
  </si>
  <si>
    <t>Households with school-aged children (5-18 y.o) that reported education disruption because of missile attack broken down by rural / urban on the admin of macroregion</t>
  </si>
  <si>
    <t>Households with school-aged children (5-18 y.o) that reported education disruption because of missile attack broken down by proximity to the Frontline / Russian border on the admin of macroregion</t>
  </si>
  <si>
    <t>Households reporting time they spent supporting school-aged children with education broken down by displacement status of HoH on the admin of macroregion</t>
  </si>
  <si>
    <t>Households reporting types of expenditures they had in the last 30 days before DC broken down by displacement status of HoH on the admin of macroregion</t>
  </si>
  <si>
    <t>All other frequent expenditure (specify)</t>
  </si>
  <si>
    <t>Childcare and elderly care (e.g. Paying for childcare services, paying for elder care services)</t>
  </si>
  <si>
    <t xml:space="preserve">Communications (phone airtime, Internet costs, etc.) </t>
  </si>
  <si>
    <t xml:space="preserve">Feminine hygiene products </t>
  </si>
  <si>
    <t xml:space="preserve">Food items </t>
  </si>
  <si>
    <t>Fuel for other purposes (e.g for cooking, and excluding fuel for cars)</t>
  </si>
  <si>
    <t xml:space="preserve">Non-hygiene, non-food household items (lightbulbs, cooking utensils, etc.) </t>
  </si>
  <si>
    <t xml:space="preserve">Other hygiene items (personal and domestic, e.g. laundry detergent, soap, shampoo, cleaning materials, etc.) </t>
  </si>
  <si>
    <t xml:space="preserve">Rent for shelter and/or land </t>
  </si>
  <si>
    <t>Transportation (e.g. public transport, car maintenance, fuel for vehicles, etc.)</t>
  </si>
  <si>
    <t>Utilities (electricity, gas connections, water supply, etc)</t>
  </si>
  <si>
    <t xml:space="preserve">Water (except for utilities) </t>
  </si>
  <si>
    <t>Households reporting types of expenditures they had in the last 30 days before DC broken down by rural / urban on the admin of macroregion</t>
  </si>
  <si>
    <t>Households reporting types of expenditures they had in the last 30 days before DC broken down by proximity to the Frontline / Russian border on the admin of macroregion</t>
  </si>
  <si>
    <t>Household Domestic Expenditure over the last 30 days, by type and amount broken down by displacement status of HoH on the admin of macroregion</t>
  </si>
  <si>
    <t>mean_J_3 Estimated Household's Domestic Expenditure (Food items) Over the Last 30 days</t>
  </si>
  <si>
    <t>median_J_3 Estimated Household's Domestic Expenditure (Food items) Over the Last 30 days</t>
  </si>
  <si>
    <t>min_J_3 Estimated Household's Domestic Expenditure (Food items) Over the Last 30 days</t>
  </si>
  <si>
    <t>max_J_3 Estimated Household's Domestic Expenditure (Food items) Over the Last 30 days</t>
  </si>
  <si>
    <t>mean_J_4 Estimated Household's Domestic Expenditure (Rent for shelter and/or land) Over the Last 30 days</t>
  </si>
  <si>
    <t>median_J_4 Estimated Household's Domestic Expenditure (Rent for shelter and/or land) Over the Last 30 days</t>
  </si>
  <si>
    <t>min_J_4 Estimated Household's Domestic Expenditure (Rent for shelter and/or land) Over the Last 30 days</t>
  </si>
  <si>
    <t>max_J_4 Estimated Household's Domestic Expenditure (Rent for shelter and/or land) Over the Last 30 days</t>
  </si>
  <si>
    <t>mean_J_5 Estimated Household's Domestic Expenditure (Water) Over the Last 30 days</t>
  </si>
  <si>
    <t>median_J_5 Estimated Household's Domestic Expenditure (Water) Over the Last 30 days</t>
  </si>
  <si>
    <t>min_J_5 Estimated Household's Domestic Expenditure (Water) Over the Last 30 days</t>
  </si>
  <si>
    <t>max_J_5 Estimated Household's Domestic Expenditure (Water) Over the Last 30 days</t>
  </si>
  <si>
    <t>mean_J_6 Estimated Household's Domestic Expenditure (Feminine hygiene products) Over the Last 30 days</t>
  </si>
  <si>
    <t>median_J_6 Estimated Household's Domestic Expenditure (Feminine hygiene products) Over the Last 30 days</t>
  </si>
  <si>
    <t>min_J_6 Estimated Household's Domestic Expenditure (Feminine hygiene products) Over the Last 30 days</t>
  </si>
  <si>
    <t>max_J_6 Estimated Household's Domestic Expenditure (Feminine hygiene products) Over the Last 30 days</t>
  </si>
  <si>
    <t>mean_J_7 Estimated Household's Domestic Expenditure (Other hygiene items) Over the Last 30 days</t>
  </si>
  <si>
    <t>median_J_7 Estimated Household's Domestic Expenditure (Other hygiene items) Over the Last 30 days</t>
  </si>
  <si>
    <t>min_J_7 Estimated Household's Domestic Expenditure (Other hygiene items) Over the Last 30 days</t>
  </si>
  <si>
    <t>max_J_7 Estimated Household's Domestic Expenditure (Other hygiene items) Over the Last 30 days</t>
  </si>
  <si>
    <t>mean_J_8 Estimated Household's Domestic Expenditure (Non-hygiene, non-food household items) Over the Last 30 days</t>
  </si>
  <si>
    <t>median_J_8 Estimated Household's Domestic Expenditure (Non-hygiene, non-food household items) Over the Last 30 days</t>
  </si>
  <si>
    <t>min_J_8 Estimated Household's Domestic Expenditure (Non-hygiene, non-food household items) Over the Last 30 days</t>
  </si>
  <si>
    <t>max_J_8 Estimated Household's Domestic Expenditure (Non-hygiene, non-food household items) Over the Last 30 days</t>
  </si>
  <si>
    <t>mean_J_9 Estimated Household's Domestic Expenditure (Utilities)Over the Last 30 days</t>
  </si>
  <si>
    <t>median_J_9 Estimated Household's Domestic Expenditure (Utilities)Over the Last 30 days</t>
  </si>
  <si>
    <t>min_J_9 Estimated Household's Domestic Expenditure (Utilities)Over the Last 30 days</t>
  </si>
  <si>
    <t>max_J_9 Estimated Household's Domestic Expenditure (Utilities)Over the Last 30 days</t>
  </si>
  <si>
    <t>mean_J_10 Estimated Household's Domestic Expenditure (Fuel for other purposes) Over the Last 30 days</t>
  </si>
  <si>
    <t>median_J_10 Estimated Household's Domestic Expenditure (Fuel for other purposes) Over the Last 30 days</t>
  </si>
  <si>
    <t>min_J_10 Estimated Household's Domestic Expenditure (Fuel for other purposes) Over the Last 30 days</t>
  </si>
  <si>
    <t>max_J_10 Estimated Household's Domestic Expenditure (Fuel for other purposes) Over the Last 30 days</t>
  </si>
  <si>
    <t>mean_J_11 Estimated Household's Domestic Expenditure (Transportation) Over the Last 30 days</t>
  </si>
  <si>
    <t>median_J_11 Estimated Household's Domestic Expenditure (Transportation) Over the Last 30 days</t>
  </si>
  <si>
    <t>min_J_11 Estimated Household's Domestic Expenditure (Transportation) Over the Last 30 days</t>
  </si>
  <si>
    <t>max_J_11 Estimated Household's Domestic Expenditure (Transportation) Over the Last 30 days</t>
  </si>
  <si>
    <t>mean_J_12 Estimated Household's Domestic Expenditure (Communications) Over the Last 30 days</t>
  </si>
  <si>
    <t>median_J_12 Estimated Household's Domestic Expenditure (Communications) Over the Last 30 days</t>
  </si>
  <si>
    <t>min_J_12 Estimated Household's Domestic Expenditure (Communications) Over the Last 30 days</t>
  </si>
  <si>
    <t>max_J_12 Estimated Household's Domestic Expenditure (Communications) Over the Last 30 days</t>
  </si>
  <si>
    <t>mean_J_15 Estimated Household's Domestic Expenditure (All other) Over the Last 30 days</t>
  </si>
  <si>
    <t>median_J_15 Estimated Household's Domestic Expenditure (All other) Over the Last 30 days</t>
  </si>
  <si>
    <t>min_J_15 Estimated Household's Domestic Expenditure (All other) Over the Last 30 days</t>
  </si>
  <si>
    <t>max_J_15 Estimated Household's Domestic Expenditure (All other) Over the Last 30 days</t>
  </si>
  <si>
    <t>Household Domestic Expenditure over the last 30 days, by type and amount broken down by rural / urban on the admin of macroregion</t>
  </si>
  <si>
    <t>Household Domestic Expenditure over the last 30 days, by type and amount broken down by proximity to the Frontline / Russian border on the admin of macroregion</t>
  </si>
  <si>
    <t>Estimated Household's Domestic Expenditure on Heating during the last winter broken down by displacement status of HoH on the admin of macroregion</t>
  </si>
  <si>
    <t>Estimated Household's Domestic Expenditure on Heating during the last winter broken down by rural / urban on the admin of macroregion</t>
  </si>
  <si>
    <t>disaggregations_2</t>
  </si>
  <si>
    <t>by rural / urban</t>
  </si>
  <si>
    <t>Estimated Household's Domestic Expenditure on Heating during the last winter broken down by proximity to the Frontline / Russian border on the admin of macroregion</t>
  </si>
  <si>
    <t>by proximity to the Frontline / Russian border</t>
  </si>
  <si>
    <t>Households reporting types of expenditures they had in the last 6 months before DC broken down by displacement status of HoH on the admin of macroregion</t>
  </si>
  <si>
    <t>All other infrequent expenditures (please specify)</t>
  </si>
  <si>
    <t>Debt repayment</t>
  </si>
  <si>
    <t>Education-related expenditures (school fees, supplies, uniforms, etc.)</t>
  </si>
  <si>
    <t>Health-related expenditures (healthcare, medicine, etc.)</t>
  </si>
  <si>
    <t>Non-food household items for infrequent purchase (blankets, cooking pots, clothing, etc.)</t>
  </si>
  <si>
    <t>Shelter maintenance or repair</t>
  </si>
  <si>
    <t>Households reporting types of expenditures they had in the last 6 months before DC broken down by rural / urban on the admin of macroregion</t>
  </si>
  <si>
    <t>Households reporting types of expenditures they had in the last 6 months before DC broken down by proximity to the Frontline / Russian border on the admin of macroregion</t>
  </si>
  <si>
    <t>Household Domestic Expenditure over the last 6 months by type and amount  broken down by displacement status of HoH on the admin of macroregion</t>
  </si>
  <si>
    <t xml:space="preserve">mean_J_19 Estimated Household's Domestic Expenditure (Shelter maintenance or repair) Over the Last 6 Mths </t>
  </si>
  <si>
    <t xml:space="preserve">median_J_19 Estimated Household's Domestic Expenditure (Shelter maintenance or repair) Over the Last 6 Mths </t>
  </si>
  <si>
    <t xml:space="preserve">min_J_19 Estimated Household's Domestic Expenditure (Shelter maintenance or repair) Over the Last 6 Mths </t>
  </si>
  <si>
    <t xml:space="preserve">max_J_19 Estimated Household's Domestic Expenditure (Shelter maintenance or repair) Over the Last 6 Mths </t>
  </si>
  <si>
    <t xml:space="preserve">mean_J_20 Estimated Household's Domestic Expenditure ( Non-food items) Over the Last 6 Mths </t>
  </si>
  <si>
    <t xml:space="preserve">median_J_20 Estimated Household's Domestic Expenditure ( Non-food items) Over the Last 6 Mths </t>
  </si>
  <si>
    <t xml:space="preserve">min_J_20 Estimated Household's Domestic Expenditure ( Non-food items) Over the Last 6 Mths </t>
  </si>
  <si>
    <t xml:space="preserve">max_J_20 Estimated Household's Domestic Expenditure ( Non-food items) Over the Last 6 Mths </t>
  </si>
  <si>
    <t xml:space="preserve">mean_J_21 Estimated Household's Domestic Expenditure (Health) Over the Last 6 Mths </t>
  </si>
  <si>
    <t xml:space="preserve">median_J_21 Estimated Household's Domestic Expenditure (Health) Over the Last 6 Mths </t>
  </si>
  <si>
    <t xml:space="preserve">min_J_21 Estimated Household's Domestic Expenditure (Health) Over the Last 6 Mths </t>
  </si>
  <si>
    <t xml:space="preserve">max_J_21 Estimated Household's Domestic Expenditure (Health) Over the Last 6 Mths </t>
  </si>
  <si>
    <t xml:space="preserve">mean_J_22 Estimated Household's Domestic Expenditure (Education) Over the Last 6 Mths </t>
  </si>
  <si>
    <t xml:space="preserve">median_J_22 Estimated Household's Domestic Expenditure (Education) Over the Last 6 Mths </t>
  </si>
  <si>
    <t xml:space="preserve">min_J_22 Estimated Household's Domestic Expenditure (Education) Over the Last 6 Mths </t>
  </si>
  <si>
    <t xml:space="preserve">max_J_22 Estimated Household's Domestic Expenditure (Education) Over the Last 6 Mths </t>
  </si>
  <si>
    <t xml:space="preserve">mean_J_23 Estimated Household's Domestic Expenditure ( Debt repayment) Over the Last 6 Mths </t>
  </si>
  <si>
    <t xml:space="preserve">median_J_23 Estimated Household's Domestic Expenditure ( Debt repayment) Over the Last 6 Mths </t>
  </si>
  <si>
    <t xml:space="preserve">min_J_23 Estimated Household's Domestic Expenditure ( Debt repayment) Over the Last 6 Mths </t>
  </si>
  <si>
    <t xml:space="preserve">max_J_23 Estimated Household's Domestic Expenditure ( Debt repayment) Over the Last 6 Mths </t>
  </si>
  <si>
    <t xml:space="preserve">mean_J_24 Estimated Household's Domestic Expenditure (All other) Over the Last 6 Mths </t>
  </si>
  <si>
    <t xml:space="preserve">median_J_24 Estimated Household's Domestic Expenditure (All other) Over the Last 6 Mths </t>
  </si>
  <si>
    <t xml:space="preserve">min_J_24 Estimated Household's Domestic Expenditure (All other) Over the Last 6 Mths </t>
  </si>
  <si>
    <t xml:space="preserve">max_J_24 Estimated Household's Domestic Expenditure (All other) Over the Last 6 Mths </t>
  </si>
  <si>
    <t>Household Domestic Expenditure over the last 6 months by type and amount  broken down by rural / urban on the admin of macroregion</t>
  </si>
  <si>
    <t>Household Domestic Expenditure over the last 6 months by type and amount  broken down by proximity to the Frontline / Russian border on the admin of macroregion</t>
  </si>
  <si>
    <t>Total monthly expenditure PER CAPITA among those who reported any expenditure broken down by displacement status of HoH on the admin of macroregion</t>
  </si>
  <si>
    <t>Total monthly expenditure PER CAPITA among those who reported any expenditure broken down by rural / urban on the admin of macroregion</t>
  </si>
  <si>
    <t>Total monthly expenditure PER CAPITA among those who reported any expenditure broken down by proximity to the Frontline / Russian border on the admin of macroregion</t>
  </si>
  <si>
    <t>Total monthly expenditure among those who reported any expenditure broken down by displacement status of HoH on the admin of macroregion</t>
  </si>
  <si>
    <t>Total monthly expenditure among those who reported any expenditure broken down by rural / urban on the admin of macroregion</t>
  </si>
  <si>
    <t>Total monthly expenditure among those who reported any expenditure broken down by proximity to the Frontline / Russian border on the admin of macroregion</t>
  </si>
  <si>
    <t>Households reporting missing non-food items broken down by displacement status of HoH on the admin of macroregion</t>
  </si>
  <si>
    <t>Baby diapers</t>
  </si>
  <si>
    <t xml:space="preserve">Bedding and towels (e.g. including mattresses, bedsheets, towels) </t>
  </si>
  <si>
    <t>Domestic hygiene products (e.g. dishwasher soap, laundry detergent, cleaning solution, etc.)</t>
  </si>
  <si>
    <t>Feminine hygiene items</t>
  </si>
  <si>
    <t>Fuel for heating (coal, firewood, liquid gas)</t>
  </si>
  <si>
    <t>Heating appliances (heaters, boiler systems)</t>
  </si>
  <si>
    <t>Household items (kitchen utensils, light bults, etc.)</t>
  </si>
  <si>
    <t>Kitchen set (e.g .cooking and eating set)</t>
  </si>
  <si>
    <t>Large kitchen appliances (e.g. fridge/ washing machine)</t>
  </si>
  <si>
    <t>Other personal hygiene products (e.g. shampoo, razor, combs)</t>
  </si>
  <si>
    <t>Soap</t>
  </si>
  <si>
    <t>Summer clothes for a household member (e.g. jacket, boots, underwear, clothes)</t>
  </si>
  <si>
    <t>Water treatment product and materials</t>
  </si>
  <si>
    <t>Winter clothes for a household member (e.g. jacket, boots, underwear, clothes)</t>
  </si>
  <si>
    <t>Households reporting missing non-food items broken down by rural / urban on the admin of macroregion</t>
  </si>
  <si>
    <t>Households reporting missing non-food items broken down by proximity to the Frontline / Russian border on the admin of macroregion</t>
  </si>
  <si>
    <t>Primary Income Sources Reported by Households Over the Last 30 Days Prior to DC broken down by displacement status of HoH on the admin of macroregion</t>
  </si>
  <si>
    <t>Casual or daily labour</t>
  </si>
  <si>
    <t xml:space="preserve">Humanitarian aid </t>
  </si>
  <si>
    <t>IDP benefits from government</t>
  </si>
  <si>
    <t>Income from own business or regular trade</t>
  </si>
  <si>
    <t xml:space="preserve">Income from own production (agriculture, livestock, fishing, food processing, home manufacture, etc.) </t>
  </si>
  <si>
    <t xml:space="preserve">Income from rent </t>
  </si>
  <si>
    <t>Loans or support from family and friends within Ukraine</t>
  </si>
  <si>
    <t>Loans, support, or charitable donations from community members (not including humanitarian aid)</t>
  </si>
  <si>
    <t>Money transfers from abroad from family and friends (remittances)</t>
  </si>
  <si>
    <t xml:space="preserve">Other government social benefits or assistance, e.g. disability pension, maternity benefits </t>
  </si>
  <si>
    <t xml:space="preserve">Pension (age and prior military service) </t>
  </si>
  <si>
    <t xml:space="preserve">Salaried work, including from household members serving away from the home in the military </t>
  </si>
  <si>
    <t>Primary Income Sources Reported by Households Over the Last 30 Days Prior to DC broken down by rural / urban on the admin of macroregion</t>
  </si>
  <si>
    <t>Primary Income Sources Reported by Households Over the Last 30 Days Prior to DC broken down by proximity to the Frontline / Russian border on the admin of macroregion</t>
  </si>
  <si>
    <t>Household income over the 30 days prior to data collection, by types of income source broken down by displacement status of HoH on the admin of macroregion</t>
  </si>
  <si>
    <t>mean_J_29 Estimated Household's Income (Salaried work) Over the Last 30 days by Types of Income Source</t>
  </si>
  <si>
    <t>median_J_29 Estimated Household's Income (Salaried work) Over the Last 30 days by Types of Income Source</t>
  </si>
  <si>
    <t>min_J_29 Estimated Household's Income (Salaried work) Over the Last 30 days by Types of Income Source</t>
  </si>
  <si>
    <t>max_J_29 Estimated Household's Income (Salaried work) Over the Last 30 days by Types of Income Source</t>
  </si>
  <si>
    <t>mean_J_30 Estimated Household's Income (Casual or daily labour) Over the Last 30 days by Types of Income Source</t>
  </si>
  <si>
    <t>median_J_30 Estimated Household's Income (Casual or daily labour) Over the Last 30 days by Types of Income Source</t>
  </si>
  <si>
    <t>min_J_30 Estimated Household's Income (Casual or daily labour) Over the Last 30 days by Types of Income Source</t>
  </si>
  <si>
    <t>max_J_30 Estimated Household's Income (Casual or daily labour) Over the Last 30 days by Types of Income Source</t>
  </si>
  <si>
    <t>mean_J_31 Estimated Household's Income (Own business or regular trade) Over the Last 30 days by Types of Income Source</t>
  </si>
  <si>
    <t>median_J_31 Estimated Household's Income (Own business or regular trade) Over the Last 30 days by Types of Income Source</t>
  </si>
  <si>
    <t>min_J_31 Estimated Household's Income (Own business or regular trade) Over the Last 30 days by Types of Income Source</t>
  </si>
  <si>
    <t>max_J_31 Estimated Household's Income (Own business or regular trade) Over the Last 30 days by Types of Income Source</t>
  </si>
  <si>
    <t>mean_J_32 Estimated Household's Income (Own production) Over the Last 30 days by Types of Income Source</t>
  </si>
  <si>
    <t>median_J_32 Estimated Household's Income (Own production) Over the Last 30 days by Types of Income Source</t>
  </si>
  <si>
    <t>min_J_32 Estimated Household's Income (Own production) Over the Last 30 days by Types of Income Source</t>
  </si>
  <si>
    <t>max_J_32 Estimated Household's Income (Own production) Over the Last 30 days by Types of Income Source</t>
  </si>
  <si>
    <t>mean_J_33 Estimated Household's Income (IDP benefits from government) Over the Last 30 days by Types of Income Source</t>
  </si>
  <si>
    <t>median_J_33 Estimated Household's Income (IDP benefits from government) Over the Last 30 days by Types of Income Source</t>
  </si>
  <si>
    <t>min_J_33 Estimated Household's Income (IDP benefits from government) Over the Last 30 days by Types of Income Source</t>
  </si>
  <si>
    <t>max_J_33 Estimated Household's Income (IDP benefits from government) Over the Last 30 days by Types of Income Source</t>
  </si>
  <si>
    <t>mean_J_34 Estimated Household's Income (Pension) Over the Last 30 days by Types of Income Source</t>
  </si>
  <si>
    <t>median_J_34 Estimated Household's Income (Pension) Over the Last 30 days by Types of Income Source</t>
  </si>
  <si>
    <t>min_J_34 Estimated Household's Income (Pension) Over the Last 30 days by Types of Income Source</t>
  </si>
  <si>
    <t>max_J_34 Estimated Household's Income (Pension) Over the Last 30 days by Types of Income Source</t>
  </si>
  <si>
    <t>mean_J_35 Estimated Household's Income (Other government social benefits or assistance) Over the Last 30 days by Types of Income Source</t>
  </si>
  <si>
    <t>median_J_35 Estimated Household's Income (Other government social benefits or assistance) Over the Last 30 days by Types of Income Source</t>
  </si>
  <si>
    <t>min_J_35 Estimated Household's Income (Other government social benefits or assistance) Over the Last 30 days by Types of Income Source</t>
  </si>
  <si>
    <t>max_J_35 Estimated Household's Income (Other government social benefits or assistance) Over the Last 30 days by Types of Income Source</t>
  </si>
  <si>
    <t>mean_J_36 Estimated Household's Income (Rent) Over the Last 30 days by Types of Income Source</t>
  </si>
  <si>
    <t>median_J_36 Estimated Household's Income (Rent) Over the Last 30 days by Types of Income Source</t>
  </si>
  <si>
    <t>min_J_36 Estimated Household's Income (Rent) Over the Last 30 days by Types of Income Source</t>
  </si>
  <si>
    <t>max_J_36 Estimated Household's Income (Rent) Over the Last 30 days by Types of Income Source</t>
  </si>
  <si>
    <t>mean_J_37 Estimated Household's Income (Remittances) Over the Last 30 days by Types of Income Source</t>
  </si>
  <si>
    <t>median_J_37 Estimated Household's Income (Remittances) Over the Last 30 days by Types of Income Source</t>
  </si>
  <si>
    <t>min_J_37 Estimated Household's Income (Remittances) Over the Last 30 days by Types of Income Source</t>
  </si>
  <si>
    <t>max_J_37 Estimated Household's Income (Remittances) Over the Last 30 days by Types of Income Source</t>
  </si>
  <si>
    <t>mean_J_38 Estimated Household's Income (Humanitarian aid) Over the Last 30 days by Types of Income Source</t>
  </si>
  <si>
    <t>median_J_38 Estimated Household's Income (Humanitarian aid) Over the Last 30 days by Types of Income Source</t>
  </si>
  <si>
    <t>min_J_38 Estimated Household's Income (Humanitarian aid) Over the Last 30 days by Types of Income Source</t>
  </si>
  <si>
    <t>max_J_38 Estimated Household's Income (Humanitarian aid) Over the Last 30 days by Types of Income Source</t>
  </si>
  <si>
    <t>mean_J_39 Estimated Household's Income (Loans or support from family and friends within Ukraine) Over the Last 30 days by Types of Income Source</t>
  </si>
  <si>
    <t>median_J_39 Estimated Household's Income (Loans or support from family and friends within Ukraine) Over the Last 30 days by Types of Income Source</t>
  </si>
  <si>
    <t>min_J_39 Estimated Household's Income (Loans or support from family and friends within Ukraine) Over the Last 30 days by Types of Income Source</t>
  </si>
  <si>
    <t>max_J_39 Estimated Household's Income (Loans or support from family and friends within Ukraine) Over the Last 30 days by Types of Income Source</t>
  </si>
  <si>
    <t>mean_J_40 Estimated Household's Income (Loans, support, or charitable donations from community members) Over the Last 30 days by Types of Income Source</t>
  </si>
  <si>
    <t>median_J_40 Estimated Household's Income (Loans, support, or charitable donations from community members) Over the Last 30 days by Types of Income Source</t>
  </si>
  <si>
    <t>min_J_40 Estimated Household's Income (Loans, support, or charitable donations from community members) Over the Last 30 days by Types of Income Source</t>
  </si>
  <si>
    <t>max_J_40 Estimated Household's Income (Loans, support, or charitable donations from community members) Over the Last 30 days by Types of Income Source</t>
  </si>
  <si>
    <t>mean_J_41 Estimated Household's Income (Other) Over the Last 30 days by Types of Income Source</t>
  </si>
  <si>
    <t>median_J_41 Estimated Household's Income (Other) Over the Last 30 days by Types of Income Source</t>
  </si>
  <si>
    <t>min_J_41 Estimated Household's Income (Other) Over the Last 30 days by Types of Income Source</t>
  </si>
  <si>
    <t>max_J_41 Estimated Household's Income (Other) Over the Last 30 days by Types of Income Source</t>
  </si>
  <si>
    <t>Household income over the 30 days prior to data collection, by types of income source broken down by rural / urban on the admin of macroregion</t>
  </si>
  <si>
    <t>Household income over the 30 days prior to data collection, by types of income source broken down by proximity to the Frontline / Russian border on the admin of macroregion</t>
  </si>
  <si>
    <t>Total income per capita among those who reported any income broken down by displacement status of HoH on the admin of macroregion</t>
  </si>
  <si>
    <t>Total income per capita among those who reported any income broken down by rural / urban on the admin of macroregion</t>
  </si>
  <si>
    <t>Total income per capita among those who reported any income broken down by proximity to the Frontline / Russian border on the admin of macroregion</t>
  </si>
  <si>
    <t>Household income over the 30 days prior to data collection, by types of income source Per Capita broken down by displacement status of HoH on the admin of macroregion</t>
  </si>
  <si>
    <t>mean_J_29 Estimated Household's Income (Salaried work) Over the Last 30 days by Types of Income Source Per Capita</t>
  </si>
  <si>
    <t>median_J_29 Estimated Household's Income (Salaried work) Over the Last 30 days by Types of Income Source Per Capita</t>
  </si>
  <si>
    <t>min_J_29 Estimated Household's Income (Salaried work) Over the Last 30 days by Types of Income Source Per Capita</t>
  </si>
  <si>
    <t>max_J_29 Estimated Household's Income (Salaried work) Over the Last 30 days by Types of Income Source Per Capita</t>
  </si>
  <si>
    <t>mean_J_30 Estimated Household's Income (Casual or daily labour) Over the Last 30 days by Types of Income Source Per Capita</t>
  </si>
  <si>
    <t>median_J_30 Estimated Household's Income (Casual or daily labour) Over the Last 30 days by Types of Income Source Per Capita</t>
  </si>
  <si>
    <t>min_J_30 Estimated Household's Income (Casual or daily labour) Over the Last 30 days by Types of Income Source Per Capita</t>
  </si>
  <si>
    <t>max_J_30 Estimated Household's Income (Casual or daily labour) Over the Last 30 days by Types of Income Source Per Capita</t>
  </si>
  <si>
    <t>mean_J_31 Estimated Household's Income (Own business or regular trade) Over the Last 30 days by Types of Income Source Per Capita</t>
  </si>
  <si>
    <t>median_J_31 Estimated Household's Income (Own business or regular trade) Over the Last 30 days by Types of Income Source Per Capita</t>
  </si>
  <si>
    <t>min_J_31 Estimated Household's Income (Own business or regular trade) Over the Last 30 days by Types of Income Source Per Capita</t>
  </si>
  <si>
    <t>max_J_31 Estimated Household's Income (Own business or regular trade) Over the Last 30 days by Types of Income Source Per Capita</t>
  </si>
  <si>
    <t>mean_J_32 Estimated Household's Income (Own production) Over the Last 30 days by Types of Income Source Per Capita</t>
  </si>
  <si>
    <t>median_J_32 Estimated Household's Income (Own production) Over the Last 30 days by Types of Income Source Per Capita</t>
  </si>
  <si>
    <t>min_J_32 Estimated Household's Income (Own production) Over the Last 30 days by Types of Income Source Per Capita</t>
  </si>
  <si>
    <t>max_J_32 Estimated Household's Income (Own production) Over the Last 30 days by Types of Income Source Per Capita</t>
  </si>
  <si>
    <t>mean_J_33 Estimated Household's Income (IDP benefits from government) Over the Last 30 days by Types of Income Source Per Capita</t>
  </si>
  <si>
    <t>median_J_33 Estimated Household's Income (IDP benefits from government) Over the Last 30 days by Types of Income Source Per Capita</t>
  </si>
  <si>
    <t>min_J_33 Estimated Household's Income (IDP benefits from government) Over the Last 30 days by Types of Income Source Per Capita</t>
  </si>
  <si>
    <t>max_J_33 Estimated Household's Income (IDP benefits from government) Over the Last 30 days by Types of Income Source Per Capita</t>
  </si>
  <si>
    <t>mean_J_34 Estimated Household's Income (Pension) Over the Last 30 days by Types of Income Source Per Capita</t>
  </si>
  <si>
    <t>median_J_34 Estimated Household's Income (Pension) Over the Last 30 days by Types of Income Source Per Capita</t>
  </si>
  <si>
    <t>min_J_34 Estimated Household's Income (Pension) Over the Last 30 days by Types of Income Source Per Capita</t>
  </si>
  <si>
    <t>max_J_34 Estimated Household's Income (Pension) Over the Last 30 days by Types of Income Source Per Capita</t>
  </si>
  <si>
    <t>mean_J_35 Estimated Household's Income (Other government social benefits or assistance) Over the Last 30 days by Types of Income Source Per Capita</t>
  </si>
  <si>
    <t>median_J_35 Estimated Household's Income (Other government social benefits or assistance) Over the Last 30 days by Types of Income Source Per Capita</t>
  </si>
  <si>
    <t>min_J_35 Estimated Household's Income (Other government social benefits or assistance) Over the Last 30 days by Types of Income Source Per Capita</t>
  </si>
  <si>
    <t>max_J_35 Estimated Household's Income (Other government social benefits or assistance) Over the Last 30 days by Types of Income Source Per Capita</t>
  </si>
  <si>
    <t>mean_J_36 Estimated Household's Income (Rent) Over the Last 30 days by Types of Income Source Per Capita</t>
  </si>
  <si>
    <t>median_J_36 Estimated Household's Income (Rent) Over the Last 30 days by Types of Income Source Per Capita</t>
  </si>
  <si>
    <t>min_J_36 Estimated Household's Income (Rent) Over the Last 30 days by Types of Income Source Per Capita</t>
  </si>
  <si>
    <t>max_J_36 Estimated Household's Income (Rent) Over the Last 30 days by Types of Income Source Per Capita</t>
  </si>
  <si>
    <t>mean_J_37 Estimated Household's Income (Remittances) Over the Last 30 days by Types of Income Source Per Capita</t>
  </si>
  <si>
    <t>median_J_37 Estimated Household's Income (Remittances) Over the Last 30 days by Types of Income Source Per Capita</t>
  </si>
  <si>
    <t>min_J_37 Estimated Household's Income (Remittances) Over the Last 30 days by Types of Income Source Per Capita</t>
  </si>
  <si>
    <t>max_J_37 Estimated Household's Income (Remittances) Over the Last 30 days by Types of Income Source Per Capita</t>
  </si>
  <si>
    <t>mean_J_38 Estimated Household's Income (Humanitarian aid) Over the Last 30 days by Types of Income Source Per Capita</t>
  </si>
  <si>
    <t>median_J_38 Estimated Household's Income (Humanitarian aid) Over the Last 30 days by Types of Income Source Per Capita</t>
  </si>
  <si>
    <t>min_J_38 Estimated Household's Income (Humanitarian aid) Over the Last 30 days by Types of Income Source Per Capita</t>
  </si>
  <si>
    <t>max_J_38 Estimated Household's Income (Humanitarian aid) Over the Last 30 days by Types of Income Source Per Capita</t>
  </si>
  <si>
    <t>mean_J_39 Estimated Household's Income (Loans or support from family and friends within Ukraine) Over the Last 30 days by Types of Income Source Per Capita</t>
  </si>
  <si>
    <t>median_J_39 Estimated Household's Income (Loans or support from family and friends within Ukraine) Over the Last 30 days by Types of Income Source Per Capita</t>
  </si>
  <si>
    <t>min_J_39 Estimated Household's Income (Loans or support from family and friends within Ukraine) Over the Last 30 days by Types of Income Source Per Capita</t>
  </si>
  <si>
    <t>max_J_39 Estimated Household's Income (Loans or support from family and friends within Ukraine) Over the Last 30 days by Types of Income Source Per Capita</t>
  </si>
  <si>
    <t>mean_J_40 Estimated Household's Income (Loans, support, or charitable donations from community members) Over the Last 30 days by Types of Income Source Per Capita</t>
  </si>
  <si>
    <t>median_J_40 Estimated Household's Income (Loans, support, or charitable donations from community members) Over the Last 30 days by Types of Income Source Per Capita</t>
  </si>
  <si>
    <t>min_J_40 Estimated Household's Income (Loans, support, or charitable donations from community members) Over the Last 30 days by Types of Income Source Per Capita</t>
  </si>
  <si>
    <t>max_J_40 Estimated Household's Income (Loans, support, or charitable donations from community members) Over the Last 30 days by Types of Income Source Per Capita</t>
  </si>
  <si>
    <t>mean_J_41 Estimated Household's Income (Other) Over the Last 30 days by Types of Income Source Per Capita</t>
  </si>
  <si>
    <t>median_J_41 Estimated Household's Income (Other) Over the Last 30 days by Types of Income Source Per Capita</t>
  </si>
  <si>
    <t>min_J_41 Estimated Household's Income (Other) Over the Last 30 days by Types of Income Source Per Capita</t>
  </si>
  <si>
    <t>max_J_41 Estimated Household's Income (Other) Over the Last 30 days by Types of Income Source Per Capita</t>
  </si>
  <si>
    <t>Household income over the 30 days prior to data collection, by types of income source Per Capita broken down by rural / urban on the admin of macroregion</t>
  </si>
  <si>
    <t>Household income over the 30 days prior to data collection, by types of income source Per Capita broken down by proximity to the Frontline / Russian border on the admin of macroregion</t>
  </si>
  <si>
    <t>Total income per household among those who reported any income broken down by displacement status of HoH on the admin of macroregion</t>
  </si>
  <si>
    <t>Total income per household among those who reported any income broken down by rural / urban on the admin of macroregion</t>
  </si>
  <si>
    <t>Total income per household among those who reported any income broken down by proximity to the Frontline / Russian border on the admin of macroregion</t>
  </si>
  <si>
    <t>Households that have borrowed money that they still have to pay back broken down by displacement status of HoH on the admin of macroregion</t>
  </si>
  <si>
    <t>Households that have borrowed money that they still have to pay back broken down by rural / urban on the admin of macroregion</t>
  </si>
  <si>
    <t>Households reporting reasons why they took on debt since February 2022 broken down by displacement status of HoH on the admin of macroregion</t>
  </si>
  <si>
    <t>Domestic assets (appliances, household repairs, repairing facilities) for your household</t>
  </si>
  <si>
    <t>Domestic consumption (food, utilities, etc) for your household</t>
  </si>
  <si>
    <t>Education expenses for your household</t>
  </si>
  <si>
    <t>For another households' needs</t>
  </si>
  <si>
    <t xml:space="preserve">Health / Medical expenses for your household </t>
  </si>
  <si>
    <t xml:space="preserve">Holiday / Travel for your household </t>
  </si>
  <si>
    <t>Investment in business (capital or assets) belonging to a household member</t>
  </si>
  <si>
    <t>Obtaining / replacing official documents for your household</t>
  </si>
  <si>
    <t>Property / Mortgage belonging to a household member</t>
  </si>
  <si>
    <t>Repayment of other debts of your household</t>
  </si>
  <si>
    <t xml:space="preserve">Replacing posessions of your household that were destroyed / left behind due to the war </t>
  </si>
  <si>
    <t>Shelter repair for your household</t>
  </si>
  <si>
    <t>Urgent travel related to displacement for your household</t>
  </si>
  <si>
    <t>Households reporting reasons why they took on debt since February 2022 broken down by rural / urban on the admin of macroregion</t>
  </si>
  <si>
    <t>Households reporting barriers while accessing markets broken down by displacement status of HoH on the admin of macroregion</t>
  </si>
  <si>
    <t>Damage to marketplace</t>
  </si>
  <si>
    <t>Damage to roads leading to marketplace</t>
  </si>
  <si>
    <t>Disablity / health issues</t>
  </si>
  <si>
    <t>Face discrimination or exploitation when visiting the marketplace or certain businesses</t>
  </si>
  <si>
    <t>Insecurity or danger at marketplace</t>
  </si>
  <si>
    <t>Insecurity or danger travelling to and from marketplace</t>
  </si>
  <si>
    <t>Local authorities restrict access/travel</t>
  </si>
  <si>
    <t>Market shutdowns or curfews make access impossible</t>
  </si>
  <si>
    <t>Marketplace is too far away to access regularly</t>
  </si>
  <si>
    <t>Nobody to look after children or elderly while visiting marketplace</t>
  </si>
  <si>
    <t>Other household members restrict access/travel</t>
  </si>
  <si>
    <t>Transportation to marketplace is too expensive</t>
  </si>
  <si>
    <t>Households adopting Livelihood Coping Strategies, by strategy broken down by displacement status of HoH on the admin of macroregion</t>
  </si>
  <si>
    <t>option</t>
  </si>
  <si>
    <t>perc_Households Reportedly Adopting Livelihood Coping Strategies (sell household assets/goods)</t>
  </si>
  <si>
    <t>perc_Households Reportedly Adopting Livelihood Coping Strategies (spend savings or consumed stocks)</t>
  </si>
  <si>
    <t>perc_Households Reportedly Adopting Livelihood Coping Strategies (Purchase food on credit or borrowed food)</t>
  </si>
  <si>
    <t>perc_Households Reportedly Adopting Livelihood Coping Strategies (get an additional job)</t>
  </si>
  <si>
    <t>perc_Households Reportedly Adopting Livelihood Coping Strategies (Sell productive assets)</t>
  </si>
  <si>
    <t>perc_Households Reportedly Adopting Livelihood Coping Strategies (Reduce essential health expenditures)</t>
  </si>
  <si>
    <t>perc_Households Reportedly Adopting Livelihood Coping Strategies (Reduce essential education expenditures)</t>
  </si>
  <si>
    <t>perc_Households Reportedly Adopting Livelihood Coping Strategies (Sell housing or land)</t>
  </si>
  <si>
    <t>perc_Households Reportedly Adopting Livelihood Coping Strategies (use degrading sources of income)</t>
  </si>
  <si>
    <t>perc_Households Reportedly Adopting Livelihood Coping Strategies (ask strangers for money)</t>
  </si>
  <si>
    <t>general_count</t>
  </si>
  <si>
    <t>No, have already exhausted this coping strategy and cannot use it again</t>
  </si>
  <si>
    <t>No, had no need to use this coping strategy</t>
  </si>
  <si>
    <t>Not applicable / This coping strategy is not available to me</t>
  </si>
  <si>
    <t>Households adopting Livelihood Coping Strategies, by strategy broken down by rural / urban on the admin of macroregion</t>
  </si>
  <si>
    <t>Households adopting Livelihood Coping Strategies, by strategy broken down by proximity to the Frontline / Russian border on the admin of macroregion</t>
  </si>
  <si>
    <t>Main Reasons Households Reported for Using Livelihood Coping Strategies  broken down by displacement status of HoH on the admin of macroregion</t>
  </si>
  <si>
    <t xml:space="preserve">Other (specify) </t>
  </si>
  <si>
    <t xml:space="preserve">To access or pay for education </t>
  </si>
  <si>
    <t xml:space="preserve">To access or pay for food </t>
  </si>
  <si>
    <t xml:space="preserve">To access or pay for healthcare </t>
  </si>
  <si>
    <t xml:space="preserve">To access or pay for shelter </t>
  </si>
  <si>
    <t>Main Reasons Households Reported for Using Livelihood Coping Strategies  broken down by rural / urban on the admin of macroregion</t>
  </si>
  <si>
    <t>Main Reasons Households Reported for Using Livelihood Coping Strategies  broken down by proximity to the Frontline / Russian border on the admin of macroregion</t>
  </si>
  <si>
    <t>Livelihood Coping Strategy - Essential Needs (LCS-EN) broken down by displacement status of HoH on the admin of macroregion</t>
  </si>
  <si>
    <t>Crisis</t>
  </si>
  <si>
    <t>Emergency</t>
  </si>
  <si>
    <t>No coping</t>
  </si>
  <si>
    <t>Stress</t>
  </si>
  <si>
    <t>Livelihood Coping Strategy - Essential Needs (LCS-EN) broken down by rural / urban on the admin of macroregion</t>
  </si>
  <si>
    <t>Livelihood Coping Strategy - Essential Needs (LCS-EN) broken down by proximity to the Frontline / Russian border on the admin of macroregion</t>
  </si>
  <si>
    <t>Security Factors that reportedly influenced households' sense of safety broken down by displacement status of HoH on the admin of macroregion</t>
  </si>
  <si>
    <t>Arbitrary arrest / detention</t>
  </si>
  <si>
    <t>Conscription</t>
  </si>
  <si>
    <t>Discrimination (because of ethnicity, status, etc.)</t>
  </si>
  <si>
    <t>Exploitation (being engaged in harmful forms of labor, human trafficking)</t>
  </si>
  <si>
    <t>Kidnapping, forced disappearance (excluding conscription)</t>
  </si>
  <si>
    <t>Looting and crime (e.g. being robbed)</t>
  </si>
  <si>
    <t>Presence of landmines/UXOs</t>
  </si>
  <si>
    <t>Presence of military actors</t>
  </si>
  <si>
    <t>Social tension in the community</t>
  </si>
  <si>
    <t>Stray animals (dogs, etc)</t>
  </si>
  <si>
    <t>Violence and harassment not related to the conflict in private spaces</t>
  </si>
  <si>
    <t>Violence and harassment not related to the conflict in public spaces</t>
  </si>
  <si>
    <t>Violence related to the conflict (e.g. armed violence, shelling, missile attacks) impacting civilians</t>
  </si>
  <si>
    <t>Violence related to the conflict (e.g. armed violence, shelling, missile attacks) impacting private infrastructure (e.g. private housing)</t>
  </si>
  <si>
    <t>Violence related to the conflict (e.g. armed violence, shelling, missile attacks) impacting public infrastructure and facilities (schools, telecommunication networks)</t>
  </si>
  <si>
    <t>Security Factors that reportedly influenced households' sense of safety broken down by gender of respondent on the admin of macroregion</t>
  </si>
  <si>
    <t>Security Factors that reportedly influenced households' sense of safety broken down by rural / urban on the admin of macroregion</t>
  </si>
  <si>
    <t>Security Factors that reportedly influenced households' sense of safety broken down by proximity to the Frontline / Russian border on the admin of macroregion</t>
  </si>
  <si>
    <t>Reasons why social tension or discrimination impacted households' sense of safety broken down by displacement status of HoH on the admin of macroregion</t>
  </si>
  <si>
    <t>Age</t>
  </si>
  <si>
    <t>Discrimination or tensions over access to employment </t>
  </si>
  <si>
    <t>Discrimination or tensions over access to government services </t>
  </si>
  <si>
    <t>Discrimination or tensions over access to humanitarian assistance provided by aid providers </t>
  </si>
  <si>
    <t>Displacement status (e.g. tensions or discrimination related to being IDP)</t>
  </si>
  <si>
    <t>Do not know </t>
  </si>
  <si>
    <t>Ethnicity  </t>
  </si>
  <si>
    <t>Language  </t>
  </si>
  <si>
    <t>Other (specify) </t>
  </si>
  <si>
    <t>Political affiliation                                                                     </t>
  </si>
  <si>
    <t>Religion </t>
  </si>
  <si>
    <t>Sexual Orientation</t>
  </si>
  <si>
    <t>Households that reported being concerned about having any HH member engaging in risky activities due to the economic needs broken down by displacement status of HoH on the admin of macroregion</t>
  </si>
  <si>
    <t>Always</t>
  </si>
  <si>
    <t>Don't know</t>
  </si>
  <si>
    <t>Just once or twice</t>
  </si>
  <si>
    <t>Never</t>
  </si>
  <si>
    <t>Several times</t>
  </si>
  <si>
    <t>Households that reported being concerned about having any HH member engaging in risky activities due to the economic needs broken down by gender of respondent on the admin of macroregion</t>
  </si>
  <si>
    <t>Households that reported being concerned about having any HH member engaging in risky activities due to the economic needs broken down by rural / urban on the admin of macroregion</t>
  </si>
  <si>
    <t>Households that reported being concerned about having any HH member engaging in risky activities due to the economic needs broken down by proximity to the Frontline / Russian border on the admin of macroregion</t>
  </si>
  <si>
    <t>Households that reported being concerned about being forced to flee their home broken down by displacement status of HoH on the admin of macroregion</t>
  </si>
  <si>
    <t>Households that reported being concerned about being forced to flee their home broken down by gender of respondent on the admin of macroregion</t>
  </si>
  <si>
    <t>Households that reported being concerned about being forced to flee their home broken down by rural / urban on the admin of macroregion</t>
  </si>
  <si>
    <t>Households that reported being concerned about being forced to flee their home broken down by proximity to the Frontline / Russian border on the admin of macroregion</t>
  </si>
  <si>
    <t>Security factors that reportedly influenced sense of safety of WOMEN in community broken down by displacement status of HoH on the admin of macroregion</t>
  </si>
  <si>
    <t>Being robbed</t>
  </si>
  <si>
    <t>Security factors that reportedly influenced sense of safety of WOMEN in community broken down by gender of respondent on the admin of macroregion</t>
  </si>
  <si>
    <t>Security factors that reportedly influenced sense of safety of WOMEN in community broken down by rural / urban on the admin of macroregion</t>
  </si>
  <si>
    <t>Security factors that reportedly influenced sense of safety of WOMEN in community broken down by proximity to the Frontline / Russian border on the admin of macroregion</t>
  </si>
  <si>
    <t>Households with women that reportedly feel unsafe walking in community broken down by displacement status of HoH on the admin of macroregion</t>
  </si>
  <si>
    <t>Often</t>
  </si>
  <si>
    <t>Sometimes</t>
  </si>
  <si>
    <t>Places women reportedly avoid because of security concerns broken down by displacement status of HoH on the admin of macroregion</t>
  </si>
  <si>
    <t xml:space="preserve">Aid distribution points </t>
  </si>
  <si>
    <t>Communal heating points</t>
  </si>
  <si>
    <t>Communal water points</t>
  </si>
  <si>
    <t>Indoor public spaces used for recreation (e.g. community centers)</t>
  </si>
  <si>
    <t>Isolated areas within your living space such as elevators/staircases</t>
  </si>
  <si>
    <t>Long or isolated underground passages</t>
  </si>
  <si>
    <t>Outdoor public spaces used for recreation (e.g. parks)</t>
  </si>
  <si>
    <t>Poorly lit outdoor areas</t>
  </si>
  <si>
    <t>Public markets</t>
  </si>
  <si>
    <t>Public transport (e.g. bus stops, train stations, trains, subways, etc.)</t>
  </si>
  <si>
    <t xml:space="preserve">Spaces with high military presence </t>
  </si>
  <si>
    <t>Security factors that reportedly influenced sense of safety of MEN in community broken down by displacement status of HoH on the admin of macroregion</t>
  </si>
  <si>
    <t>Security factors that reportedly influenced sense of safety of MEN in community broken down by gender of respondent on the admin of macroregion</t>
  </si>
  <si>
    <t>Security factors that reportedly influenced sense of safety of MEN in community broken down by rural / urban on the admin of macroregion</t>
  </si>
  <si>
    <t>Security factors that reportedly influenced sense of safety of MEN in community broken down by proximity to the Frontline / Russian border on the admin of macroregion</t>
  </si>
  <si>
    <t>Security factors that reportedly influenced sense of safety of CHILDREN in community broken down by displacement status of HoH on the admin of macroregion</t>
  </si>
  <si>
    <t>Unsafe roads</t>
  </si>
  <si>
    <t>Security factors that reportedly influenced sense of safety of CHILDREN in community broken down by gender of respondent on the admin of macroregion</t>
  </si>
  <si>
    <t>Security factors that reportedly influenced sense of safety of CHILDREN in community broken down by presence of children on the admin of macroregion</t>
  </si>
  <si>
    <t>HHs with children</t>
  </si>
  <si>
    <t>HHs without children</t>
  </si>
  <si>
    <t>Security factors that reportedly influenced sense of safety of CHILDREN in community broken down by rural / urban on the admin of macroregion</t>
  </si>
  <si>
    <t>Security factors that reportedly influenced sense of safety of CHILDREN in community broken down by proximity to the Frontline / Russian border on the admin of macroregion</t>
  </si>
  <si>
    <t>Housing/land/property (HLP) concerns households reported experiencing broken down by displacement status of HoH on the admin of macroregion</t>
  </si>
  <si>
    <t>Damage or destroyed property other than housing</t>
  </si>
  <si>
    <t>Damaged or destroyed housing in area NOT occupied by the Russian Federation</t>
  </si>
  <si>
    <t>Damaged or destroyed housing in area occupied by the Russian Federation</t>
  </si>
  <si>
    <t>Housing and/or land is not accessible due to military restrictions, active hostilities</t>
  </si>
  <si>
    <t>Housing and/or land is used for military purposes</t>
  </si>
  <si>
    <t>Lack of access to / eligibility for compensation mechanisms</t>
  </si>
  <si>
    <t>Lack of compensation through compensation mechanisms</t>
  </si>
  <si>
    <t>Lack of documents / lack of access to documents proving ownership of housing / land</t>
  </si>
  <si>
    <t>Lack of information on compensation mechanisms</t>
  </si>
  <si>
    <t>Land contaminated with EOs</t>
  </si>
  <si>
    <t>Looting of private property</t>
  </si>
  <si>
    <t>No social / affordable housing available in the area</t>
  </si>
  <si>
    <t>Property is occupied by others</t>
  </si>
  <si>
    <t>Rental disputes (landlord/tenant problems)</t>
  </si>
  <si>
    <t>Housing/land/property (HLP) concerns households reported experiencing broken down by rural / urban on the admin of macroregion</t>
  </si>
  <si>
    <t>Housing/land/property (HLP) concerns households reported experiencing broken down by proximity to the Frontline / Russian border on the admin of macroregion</t>
  </si>
  <si>
    <t>Number of times Household members reportedly were trained on safe behaviours towards Explosive Ordnances  broken down by displacement status of HoH on the admin of macroregion</t>
  </si>
  <si>
    <t>Households Reporting Explosive Ordnance Currently Present in their Community broken down by displacement status of HoH on the admin of macroregion</t>
  </si>
  <si>
    <t>Prefer not to Answer</t>
  </si>
  <si>
    <t>Yes, I or a member of my household believes they are present</t>
  </si>
  <si>
    <t>Yes, I or a member of my household has seen them</t>
  </si>
  <si>
    <t>Households Reporting that Explosive Ordnance Affect the Livelihoods of People within their Community broken down by displacement status of HoH on the admin of macroregion</t>
  </si>
  <si>
    <t>No, presence of EO is not affecting anyone's livelihood in the community</t>
  </si>
  <si>
    <t>Yes, presence of EO is affecting people's livelihood in the community</t>
  </si>
  <si>
    <t>Households describing their shelter situation broken down by displacement status of HoH on the admin of macroregion</t>
  </si>
  <si>
    <t>Collective site</t>
  </si>
  <si>
    <t>Hosted by friends/relatives</t>
  </si>
  <si>
    <t>Hosting at least one other household in own home</t>
  </si>
  <si>
    <t>Individual shelter (for this household only)</t>
  </si>
  <si>
    <t>Individual shelter (shared with others)</t>
  </si>
  <si>
    <t>No shelter (sleeping in the open)</t>
  </si>
  <si>
    <t>Households describing their shelter situation broken down by rural / urban on the admin of macroregion</t>
  </si>
  <si>
    <t>Households describing their shelter situation broken down by proximity to the Frontline / Russian border on the admin of macroregion</t>
  </si>
  <si>
    <t>Households reporting type of shelter they live in broken down by displacement status of HoH on the admin of macroregion</t>
  </si>
  <si>
    <t>Makeshift shelter</t>
  </si>
  <si>
    <t>Solid / finished apartment</t>
  </si>
  <si>
    <t>Solid / finished house</t>
  </si>
  <si>
    <t>Tent</t>
  </si>
  <si>
    <t>Unfinished / non-enclosed building</t>
  </si>
  <si>
    <t>Households reporting type of shelter they live in broken down by rural / urban on the admin of macroregion</t>
  </si>
  <si>
    <t>Households reporting type of shelter they live in broken down by proximity to the Frontline / Russian border on the admin of macroregion</t>
  </si>
  <si>
    <t>Households reporting number of square meters in their shelter broken down by displacement status of HoH on the admin of macroregion</t>
  </si>
  <si>
    <t>Households reporting number of square meters in their shelter broken down by rural / urban on the admin of macroregion</t>
  </si>
  <si>
    <t>Households reporting number of square meters in their shelter broken down by proximity to the Frontline / Russian border on the admin of macroregion</t>
  </si>
  <si>
    <t>Households reporting number of individuals living in their current shelter broken down by displacement status of HoH on the admin of macroregion</t>
  </si>
  <si>
    <t>Households reporting number of individuals living in their current shelter broken down by rural / urban on the admin of macroregion</t>
  </si>
  <si>
    <t>Households reporting number of individuals living in their current shelter broken down by proximity to the Frontline / Russian border on the admin of macroregion</t>
  </si>
  <si>
    <t>Shelter overcrowding broken down by displacement status of HoH on the admin of macroregion</t>
  </si>
  <si>
    <t>Shelter overcrowding broken down by rural / urban on the admin of macroregion</t>
  </si>
  <si>
    <t>Shelter overcrowding broken down by proximity to the Frontline / Russian border on the admin of macroregion</t>
  </si>
  <si>
    <t>Households reporting occupancy arrangement of their shelter broken down by displacement status of HoH on the admin of macroregion</t>
  </si>
  <si>
    <t>Hosted for free</t>
  </si>
  <si>
    <t>No occupancy agreement, squatting</t>
  </si>
  <si>
    <t>Owned property</t>
  </si>
  <si>
    <t>Rented</t>
  </si>
  <si>
    <t>Households reporting occupancy arrangement of their shelter broken down by rural / urban on the admin of macroregion</t>
  </si>
  <si>
    <t>Households reporting occupancy arrangement of their shelter broken down by proximity to the Frontline / Russian border on the admin of macroregion</t>
  </si>
  <si>
    <t>Households reporting risk of being evicted from their shelter broken down by displacement status of HoH on the admin of macroregion</t>
  </si>
  <si>
    <t>Households reporting risk of being evicted from their shelter broken down by rural / urban on the admin of macroregion</t>
  </si>
  <si>
    <t>Households reporting risk of being evicted from their shelter broken down by proximity to the Frontline / Russian border on the admin of macroregion</t>
  </si>
  <si>
    <t>Households reporting shelter issues that were NOT caused by the war broken down by displacement status of HoH on the admin of macroregion</t>
  </si>
  <si>
    <t xml:space="preserve">It is often too hot or too cold inside dwelling / shelter  </t>
  </si>
  <si>
    <t>Lack of lighting inside the dwelling / shelter</t>
  </si>
  <si>
    <t>Lack of lighting outside the dwelling / shelter</t>
  </si>
  <si>
    <t>Lack of privacy (e.g. no doors)</t>
  </si>
  <si>
    <t xml:space="preserve">Lack of space inside dwelling / shelter  </t>
  </si>
  <si>
    <t>Leaks when it rains</t>
  </si>
  <si>
    <t>Limited ventilation (e.g. no or poor air circulation) inside dwelling / shelter</t>
  </si>
  <si>
    <t>Some members of the household have difficulties moving inside or outside the dwelling</t>
  </si>
  <si>
    <t xml:space="preserve">Unable to lock the dwelling / shelter  </t>
  </si>
  <si>
    <t>Households reporting shelter issues that were NOT caused by the war broken down by rural / urban on the admin of macroregion</t>
  </si>
  <si>
    <t>Households reporting shelter issues that were NOT caused by the war broken down by proximity to the Frontline / Russian border on the admin of macroregion</t>
  </si>
  <si>
    <t>Households reporting damage to their current shelter (caused by the war) broken down by displacement status of HoH on the admin of macroregion</t>
  </si>
  <si>
    <t>Doors</t>
  </si>
  <si>
    <t>Roof</t>
  </si>
  <si>
    <t>Walls</t>
  </si>
  <si>
    <t>Windows</t>
  </si>
  <si>
    <t>Households reporting damage to their current shelter (caused by the war) broken down by rural / urban on the admin of macroregion</t>
  </si>
  <si>
    <t>Households reporting damage to their current shelter (caused by the war) broken down by proximity to the Frontline / Russian border on the admin of macroregion</t>
  </si>
  <si>
    <t>Households assessing shelter damage in their current shelter broken down by displacement status of HoH on the admin of macroregion</t>
  </si>
  <si>
    <t>Catastrophic / complete</t>
  </si>
  <si>
    <t>Insignificant</t>
  </si>
  <si>
    <t>Major</t>
  </si>
  <si>
    <t>Minor</t>
  </si>
  <si>
    <t>Moderate</t>
  </si>
  <si>
    <t>Households assessing shelter damage in their current shelter broken down by rural / urban on the admin of macroregion</t>
  </si>
  <si>
    <t>Households assessing shelter damage in their current shelter broken down by proximity to the Frontline / Russian border on the admin of macroregion</t>
  </si>
  <si>
    <t>Households reportedly experiencing issues while cooking broken down by displacement status of HoH on the admin of macroregion</t>
  </si>
  <si>
    <t>No, cannot do</t>
  </si>
  <si>
    <t>No, do not need to cook in current shelter</t>
  </si>
  <si>
    <t>Yes, with issues</t>
  </si>
  <si>
    <t>Yes, without any issues</t>
  </si>
  <si>
    <t>Households reportedly experiencing issues while cooking broken down by rural / urban on the admin of macroregion</t>
  </si>
  <si>
    <t>Households reportedly experiencing issues while cooking broken down by proximity to the Frontline / Russian border on the admin of macroregion</t>
  </si>
  <si>
    <t>Households reportedly experiencing issues while sleeping broken down by displacement status of HoH on the admin of macroregion</t>
  </si>
  <si>
    <t>Households reportedly experiencing issues while sleeping broken down by rural / urban on the admin of macroregion</t>
  </si>
  <si>
    <t>Households reportedly experiencing issues while sleeping broken down by proximity to the Frontline / Russian border on the admin of macroregion</t>
  </si>
  <si>
    <t>Households reporting main heating source last winter broken down by displacement status of HoH on the admin of macroregion</t>
  </si>
  <si>
    <t>Briquettes</t>
  </si>
  <si>
    <t>Distrcit heating (centralized, through gas or electricity)</t>
  </si>
  <si>
    <t>Electricity (decentralized)</t>
  </si>
  <si>
    <t>Gas (decentralized)</t>
  </si>
  <si>
    <t>Wood or coal</t>
  </si>
  <si>
    <t>Households reporting main heating source last winter broken down by rural / urban on the admin of macroregion</t>
  </si>
  <si>
    <t>Households reporting main heating source last winter broken down by proximity to the Frontline / Russian border on the admin of macroregion</t>
  </si>
  <si>
    <t>Households reportedly experiencing issues while storing food broken down by displacement status of HoH on the admin of macroregion</t>
  </si>
  <si>
    <t>Households reportedly experiencing issues while storing food broken down by rural / urban on the admin of macroregion</t>
  </si>
  <si>
    <t>Households reportedly experiencing issues while storing food broken down by proximity to the Frontline / Russian border on the admin of macroregion</t>
  </si>
  <si>
    <t>Households reportedly experiencing issues with electricity broken down by displacement status of HoH on the admin of macroregion</t>
  </si>
  <si>
    <t>Insufficient electricity in terms of strength</t>
  </si>
  <si>
    <t>Intermittent electricity in terms of supply</t>
  </si>
  <si>
    <t>No electricity</t>
  </si>
  <si>
    <t>No issues</t>
  </si>
  <si>
    <t>Households reportedly experiencing issues with electricity broken down by rural / urban on the admin of macroregion</t>
  </si>
  <si>
    <t>Households reportedly experiencing issues with electricity broken down by proximity to the Frontline / Russian border on the admin of macroregion</t>
  </si>
  <si>
    <t>Households reportedly experiencing utility interruptions broken down by displacement status of HoH on the admin of macroregion</t>
  </si>
  <si>
    <t>Cold water supply</t>
  </si>
  <si>
    <t>Gas (decentralized or centralized)</t>
  </si>
  <si>
    <t>Hot water supply</t>
  </si>
  <si>
    <t>Internet</t>
  </si>
  <si>
    <t>Sewage</t>
  </si>
  <si>
    <t>Households reportedly experiencing utility interruptions broken down by rural / urban on the admin of macroregion</t>
  </si>
  <si>
    <t>Households reportedly experiencing utility interruptions broken down by proximity to the Frontline / Russian border on the admin of macroregion</t>
  </si>
  <si>
    <t>Households reportedly having alternative energy sources  broken down by displacement status of HoH on the admin of macroregion</t>
  </si>
  <si>
    <t>Households reportedly having alternative energy sources  broken down by rural / urban on the admin of macroregion</t>
  </si>
  <si>
    <t>Households reportedly having alternative energy sources  broken down by proximity to the Frontline / Russian border on the admin of macroregion</t>
  </si>
  <si>
    <t>Households reportedly having access to the Internet broken down by displacement status of HoH on the admin of macroregion</t>
  </si>
  <si>
    <t>Always: 24hrs</t>
  </si>
  <si>
    <t>Never: 0hrs</t>
  </si>
  <si>
    <t>Often: 12-23hrs</t>
  </si>
  <si>
    <t>Sometimes: 1-11hrs</t>
  </si>
  <si>
    <t>Households reportedly having access to the Internet broken down by rural / urban on the admin of macroregion</t>
  </si>
  <si>
    <t>Households reportedly having access to the Internet broken down by proximity to the Frontline / Russian border on the admin of macroregion</t>
  </si>
  <si>
    <t>Households reporting main source of access to the Internet broken down by displacement status of HoH on the admin of macroregion</t>
  </si>
  <si>
    <t>At community center Wi-Fi/computer</t>
  </si>
  <si>
    <t>At library Wi-Fi/computer</t>
  </si>
  <si>
    <t>From home Wi-Fi/computer</t>
  </si>
  <si>
    <t>From mobile internet network</t>
  </si>
  <si>
    <t>From work Wi-Fi/computer</t>
  </si>
  <si>
    <t>Other public space Wi-Fi/computer</t>
  </si>
  <si>
    <t>Households reporting main source of access to the Internet broken down by rural / urban on the admin of macroregion</t>
  </si>
  <si>
    <t>Households reporting main source of access to the Internet broken down by proximity to the Frontline / Russian border on the admin of macroregion</t>
  </si>
  <si>
    <t>Households reporting distance to the nearest bomb shelter broken down by displacement status of HoH on the admin of macroregion</t>
  </si>
  <si>
    <t>I am not aware of the location of the nearest bomb shelter</t>
  </si>
  <si>
    <t>Public bomb shelter is more than a 10-minute walk away from the shelter</t>
  </si>
  <si>
    <t>Public bomb shelter located less than a 10-min walk from the shelter</t>
  </si>
  <si>
    <t>There is no bomb shelter available</t>
  </si>
  <si>
    <t>Households reporting distance to the nearest bomb shelter broken down by rural / urban on the admin of macroregion</t>
  </si>
  <si>
    <t>Households reporting distance to the nearest bomb shelter broken down by proximity to the Frontline / Russian border on the admin of macroregion</t>
  </si>
  <si>
    <t>Households reporting damage to the shelter in their area of origin (for IDP members) broken down by displacement status of HoH on the admin of macroregion</t>
  </si>
  <si>
    <t>Nobody in the household is displaced</t>
  </si>
  <si>
    <t>Households reporting damage to the shelter in their area of origin (for IDP members) broken down by rural / urban on the admin of macroregion</t>
  </si>
  <si>
    <t>Households reporting damage to the shelter in their area of origin (for IDP members) broken down by proximity to the Frontline / Russian border on the admin of macroregion</t>
  </si>
  <si>
    <t>Households assessing shelter damage in their shelter in area of origin broken down by displacement status of HoH on the admin of macroregion</t>
  </si>
  <si>
    <t>Households assessing shelter damage in their shelter in area of origin broken down by rural / urban on the admin of macroregion</t>
  </si>
  <si>
    <t>Households assessing shelter damage in their shelter in area of origin broken down by proximity to the Frontline / Russian border on the admin of macroregion</t>
  </si>
  <si>
    <t>Households reporting their main source of drinking water broken down by displacement status of HoH on the admin of macroregion</t>
  </si>
  <si>
    <t>Bottled water (water purchased in bottles)</t>
  </si>
  <si>
    <t>Piped into compound, yard or plot</t>
  </si>
  <si>
    <t>Piped to neighbour</t>
  </si>
  <si>
    <t>Protected spring</t>
  </si>
  <si>
    <t>Protected well</t>
  </si>
  <si>
    <t>Public tap/standpipe</t>
  </si>
  <si>
    <t>Public well or boreholes (shared access)</t>
  </si>
  <si>
    <t>Rainwater collection</t>
  </si>
  <si>
    <t>Sachet water</t>
  </si>
  <si>
    <t>Surface water (river, dam, lake, pond, stream, canal, irrigation channel)</t>
  </si>
  <si>
    <t>Tap drinking water / Piped into dwelling</t>
  </si>
  <si>
    <t>Technical piped water</t>
  </si>
  <si>
    <t>Trucked in water (truck with a tank etc)</t>
  </si>
  <si>
    <t>Unprotected spring</t>
  </si>
  <si>
    <t>Unprotected well</t>
  </si>
  <si>
    <t>Water kiosk (booth with water for bottling)</t>
  </si>
  <si>
    <t>Households reporting their main source of drinking water broken down by rural / urban on the admin of macroregion</t>
  </si>
  <si>
    <t>Households reporting their main source of drinking water broken down by proximity to the Frontline / Russian border on the admin of macroregion</t>
  </si>
  <si>
    <t>Time reported by Households to Fetch Water from Main Source of Water used for Drinking overall broken down by displacement status of HoH on the admin of macroregion</t>
  </si>
  <si>
    <t>Time reported by Households to Fetch Water from Main Source of Water used for Drinking overall broken down by rural / urban on the admin of macroregion</t>
  </si>
  <si>
    <t>Time reported by Households to Fetch Water from Main Source of Water used for Drinking overall broken down by proximity to the Frontline / Russian border on the admin of macroregion</t>
  </si>
  <si>
    <t>Households assessing drinking water from their main source broken down by displacement status of HoH on the admin of macroregion</t>
  </si>
  <si>
    <t>Bad</t>
  </si>
  <si>
    <t>Good</t>
  </si>
  <si>
    <t>Neither good nor bad</t>
  </si>
  <si>
    <t>Very bad</t>
  </si>
  <si>
    <t>Very good</t>
  </si>
  <si>
    <t>Households assessing drinking water from their main source broken down by rural / urban on the admin of macroregion</t>
  </si>
  <si>
    <t>Households assessing drinking water from their main source broken down by proximity to the Frontline / Russian border on the admin of macroregion</t>
  </si>
  <si>
    <t>Households reportedly treating drinking water from their main source broken down by displacement status of HoH on the admin of macroregion</t>
  </si>
  <si>
    <t>No, need to but cannot treat the water</t>
  </si>
  <si>
    <t>No, no need to treat the water</t>
  </si>
  <si>
    <t>Households reportedly treating drinking water from their main source broken down by rural / urban on the admin of macroregion</t>
  </si>
  <si>
    <t>Households reportedly treating drinking water from their main source broken down by proximity to the Frontline / Russian border on the admin of macroregion</t>
  </si>
  <si>
    <t>Households reporting days without sufficient drinking water in the last 4 weeks broken down by displacement status of HoH on the admin of macroregion</t>
  </si>
  <si>
    <t>Households reporting days without sufficient drinking water in the last 4 weeks broken down by rural / urban on the admin of macroregion</t>
  </si>
  <si>
    <t>Households reporting days without sufficient drinking water in the last 4 weeks broken down by proximity to the Frontline / Russian border on the admin of macroregion</t>
  </si>
  <si>
    <t>Households reporting sources of water for domestic purposes broken down by displacement status of HoH on the admin of macroregion</t>
  </si>
  <si>
    <t xml:space="preserve">Bottled water (water purchased in bottles) </t>
  </si>
  <si>
    <t>Cart with small tank / drum</t>
  </si>
  <si>
    <t xml:space="preserve">Protected well </t>
  </si>
  <si>
    <t xml:space="preserve">Public well or boreholes (shared access) </t>
  </si>
  <si>
    <t xml:space="preserve">Surface water (river, dam, lake, pond, stream, canal, irrigation channel) </t>
  </si>
  <si>
    <t>Tanker-truck</t>
  </si>
  <si>
    <t xml:space="preserve">Trucked in water (truck with a tank etc) </t>
  </si>
  <si>
    <t xml:space="preserve">Unprotected spring </t>
  </si>
  <si>
    <t>Households reporting sources of water for domestic purposes broken down by rural / urban on the admin of macroregion</t>
  </si>
  <si>
    <t>Households reporting sources of water for domestic purposes broken down by proximity to the Frontline / Russian border on the admin of macroregion</t>
  </si>
  <si>
    <t>Households reporting having enough water for technical needs broken down by displacement status of HoH on the admin of macroregion</t>
  </si>
  <si>
    <t>Cooking</t>
  </si>
  <si>
    <t>Flushing toilet</t>
  </si>
  <si>
    <t>Laundry and cleaning</t>
  </si>
  <si>
    <t>Personal hygiene</t>
  </si>
  <si>
    <t>Households reporting having enough water for technical needs broken down by rural / urban on the admin of macroregion</t>
  </si>
  <si>
    <t>Households reporting having enough water for technical needs broken down by proximity to the Frontline / Russian border on the admin of macroregion</t>
  </si>
  <si>
    <t>Households reportedly having issues with performing personal hygiene broken down by displacement status of HoH on the admin of macroregion</t>
  </si>
  <si>
    <t>Households reportedly having issues with performing personal hygiene broken down by rural / urban on the admin of macroregion</t>
  </si>
  <si>
    <t>Households reportedly having issues with performing personal hygiene broken down by proximity to the Frontline / Russian border on the admin of macroregion</t>
  </si>
  <si>
    <t>Reasons why households reported issues with performing personal hygiene broken down by displacement status of HoH on the admin of macroregion</t>
  </si>
  <si>
    <t>Availability of hot water</t>
  </si>
  <si>
    <t>Availability of water</t>
  </si>
  <si>
    <t>Inadequate space (e.g. not covered space, leaks when it rains, space not meant for washing)</t>
  </si>
  <si>
    <t>Insufficient essential household items for hygiene (e.g. soap, etc.)</t>
  </si>
  <si>
    <t>Insufficient space (e.g. lack of privacy, partitions)</t>
  </si>
  <si>
    <t>No hygiene facility within the shelter</t>
  </si>
  <si>
    <t>Unsafe space</t>
  </si>
  <si>
    <t>Reasons why households reported issues with performing personal hygiene broken down by rural / urban on the admin of macroregion</t>
  </si>
  <si>
    <t>Reasons why households reported issues with performing personal hygiene broken down by proximity to the Frontline / Russian border on the admin of macroregion</t>
  </si>
  <si>
    <t>Main handwashing facilities reported by households broken down by displacement status of HoH on the admin of macroregion</t>
  </si>
  <si>
    <t>Fixed facility reported (sink/tap) in dwelling</t>
  </si>
  <si>
    <t>Fixed facility reported (sink/tap) in yard/plot</t>
  </si>
  <si>
    <t>Mobile object reported (bucket/jug/kettle)</t>
  </si>
  <si>
    <t>No handwashing place in dwelling/yard/plot</t>
  </si>
  <si>
    <t>Main handwashing facilities reported by households broken down by rural / urban on the admin of macroregion</t>
  </si>
  <si>
    <t>Main handwashing facilities reported by households broken down by proximity to the Frontline / Russian border on the admin of macroregion</t>
  </si>
  <si>
    <t>Households reportedly having soap in their household broken down by displacement status of HoH on the admin of macroregion</t>
  </si>
  <si>
    <t>Households reportedly having soap in their household broken down by rural / urban on the admin of macroregion</t>
  </si>
  <si>
    <t>Households reportedly having soap in their household broken down by proximity to the Frontline / Russian border on the admin of macroregion</t>
  </si>
  <si>
    <t>Households reporting main toilet facility in their household broken down by displacement status of HoH on the admin of macroregion</t>
  </si>
  <si>
    <t>Bucket</t>
  </si>
  <si>
    <t>Composting toilet</t>
  </si>
  <si>
    <t>Flush to don’t know where</t>
  </si>
  <si>
    <t>Flush to elsewhere</t>
  </si>
  <si>
    <t>Flush to open drain</t>
  </si>
  <si>
    <t>Flush to piped sewer system</t>
  </si>
  <si>
    <t>Flush to pit latrine</t>
  </si>
  <si>
    <t>Flush to septic tank</t>
  </si>
  <si>
    <t>Hanging toilet/hanging latrine</t>
  </si>
  <si>
    <t>Pit latrine with slab</t>
  </si>
  <si>
    <t>Pit latrine without slab / open pit</t>
  </si>
  <si>
    <t>Households reporting main toilet facility in their household broken down by rural / urban on the admin of macroregion</t>
  </si>
  <si>
    <t>Households reporting main toilet facility in their household broken down by proximity to the Frontline / Russian border on the admin of macroregion</t>
  </si>
  <si>
    <t>Households that reportedly share their sanitation facility broken down by displacement status of HoH on the admin of macroregion</t>
  </si>
  <si>
    <t>Number of Households Sharing Sanitation Facility Reported overall broken down by displacement status of HoH on the admin of macroregion</t>
  </si>
  <si>
    <t>Households reportedly having access to adequate toilets broken down by displacement status of HoH on the admin of macroregion</t>
  </si>
  <si>
    <t>Households reportedly having access to adequate toilets broken down by rural / urban on the admin of macroregion</t>
  </si>
  <si>
    <t>Most Common Garbage Disposal Method Reported by Households broken down by displacement status of HoH on the admin of macroregion</t>
  </si>
  <si>
    <t>We burn all the garbage</t>
  </si>
  <si>
    <t>We dispose of garbage in unauthorized places (like forests, fields, etc.)</t>
  </si>
  <si>
    <t>We partially burn garbage and dispose of the rest in a pit latrine or similar</t>
  </si>
  <si>
    <t>We sort waste and recycle</t>
  </si>
  <si>
    <t>We take the garbage to a designated dumpsite ourselves</t>
  </si>
  <si>
    <t>We use a specialized waste collection service for regular disposal</t>
  </si>
  <si>
    <t>Most Common Garbage Disposal Method Reported by Households broken down by rural / urban on the admin of macroregion</t>
  </si>
  <si>
    <t>Households reportedly facing issues with their sewage broken down by displacement status of HoH on the admin of macroregion</t>
  </si>
  <si>
    <t>No, my household does not handle this service</t>
  </si>
  <si>
    <t>No, there are no problems</t>
  </si>
  <si>
    <t>Yes, emptying the sewage is not possible due to technical reasons (peculiarities of construction, it is impossible to reach it by car, etc.)</t>
  </si>
  <si>
    <t>Yes, it is dirty</t>
  </si>
  <si>
    <t>Yes, it is expensive, high price of the service</t>
  </si>
  <si>
    <t>Yes, pumping services are not available in the area</t>
  </si>
  <si>
    <t>Yes, special car/service refuses to come</t>
  </si>
  <si>
    <t>Households reportedly facing issues with their sewage broken down by rural / urban on the admin of macroregion</t>
  </si>
  <si>
    <t>Households reportedly struggling to obtain enough money to cover basic needs broken down by displacement status of HoH on the admin of macroregion</t>
  </si>
  <si>
    <t>Households reportedly struggling to obtain enough money to cover basic needs broken down by rural / urban on the admin of macroregion</t>
  </si>
  <si>
    <t>Households reportedly struggling to obtain enough money to cover basic needs broken down by proximity to the Frontline / Russian border on the admin of macroregion</t>
  </si>
  <si>
    <t>Main Challenges Reported by Households to Obtain Money to Meet Basic Needs broken down by displacement status of HoH on the admin of macroregion</t>
  </si>
  <si>
    <t>Did not receive pensions / social benefits</t>
  </si>
  <si>
    <t>Did not receive salary or wages</t>
  </si>
  <si>
    <t>Lack of livelihood opportunities / unemployment</t>
  </si>
  <si>
    <t>Pensions / social benefit amounts were too low</t>
  </si>
  <si>
    <t>Prices increased</t>
  </si>
  <si>
    <t>Salary or wages were too low</t>
  </si>
  <si>
    <t>Unable to access money because could not travel to financial institution (e.g. due to safety concerns, no transportation, etc.)</t>
  </si>
  <si>
    <t>Unable to access money because financial institution not functioning or partially functioning (e.g. banks closed)</t>
  </si>
  <si>
    <t>Main Challenges Reported by Households to Obtain Money to Meet Basic Needs broken down by rural / urban on the admin of macroregion</t>
  </si>
  <si>
    <t>Main Challenges Reported by Households to Obtain Money to Meet Basic Needs broken down by proximity to the Frontline / Russian border on the admin of macroregion</t>
  </si>
  <si>
    <t>Reduced Coping Strategies Index (rCSI) broken down by displacement status of HoH on the admin of macroregion</t>
  </si>
  <si>
    <t>High</t>
  </si>
  <si>
    <t>Low</t>
  </si>
  <si>
    <t>Medium</t>
  </si>
  <si>
    <t>Reduced Coping Strategies Index (rCSI) broken down by rural / urban on the admin of macroregion</t>
  </si>
  <si>
    <t>Reduced Coping Strategies Index (rCSI) broken down by proximity to the Frontline / Russian border on the admin of macroregion</t>
  </si>
  <si>
    <t>Household Hunger Scale (HHS) broken down by displacement status of HoH on the admin of macroregion</t>
  </si>
  <si>
    <t>No or little</t>
  </si>
  <si>
    <t>Severe</t>
  </si>
  <si>
    <t>Household Hunger Scale (HHS) broken down by rural / urban on the admin of macroregion</t>
  </si>
  <si>
    <t>Household Hunger Scale (HHS) broken down by proximity to the Frontline / Russian border on the admin of macroregion</t>
  </si>
  <si>
    <t>K_2 Households reporting first most significant challenge their household currently faces broken down by displacement status of HoH on the admin of macroregion</t>
  </si>
  <si>
    <t>perc_K_2 Households reporting first most significant challenge their household currently faces</t>
  </si>
  <si>
    <t>perc_K_2 Households reporting second most significant challenge their household currently faces</t>
  </si>
  <si>
    <t>perc_K_2 Households reporting third most significant challenge their household currently faces</t>
  </si>
  <si>
    <t>Lack of /insufficient access a suitable living space (e.g. housing is damaged, housing is sub-standard, etc.)</t>
  </si>
  <si>
    <t>Lack of /insufficient access to adequate healthcare</t>
  </si>
  <si>
    <t>Lack of /insufficient access to energy (e.g. heating, lighting, electricity, cooking fuels, etc.)</t>
  </si>
  <si>
    <t>Lack of /insufficient access to humanitarian aid</t>
  </si>
  <si>
    <t>Lack of /insufficient access to hygiene materials (e.g. cleaning products, soap, etc.)</t>
  </si>
  <si>
    <t>Lack of /insufficient access to job / livelihoods</t>
  </si>
  <si>
    <t>Lack of /insufficient access to legal system</t>
  </si>
  <si>
    <t>Lack of /insufficient access to necessary non-food items (e.g. winter clothing, light bulbs, etc.)</t>
  </si>
  <si>
    <t>Lack of /insufficient access to productive assets (e.g. any items used to help generate income, ex. sewing machine, tools)</t>
  </si>
  <si>
    <t>Lack of /insufficient income or money</t>
  </si>
  <si>
    <t>Lack of safety or protection due to conflict, violence, or crime</t>
  </si>
  <si>
    <t>Children in household not attending school or receiving insufficient education</t>
  </si>
  <si>
    <t>Household members feeling very distressed, upset, sad, worried, scared, or angry</t>
  </si>
  <si>
    <t>Lack of / insufficient heating during the winter</t>
  </si>
  <si>
    <t>Lack of /insufficient access to enough water for drinking</t>
  </si>
  <si>
    <t>Lack of /insufficient access to enough water for non-drinking purposes</t>
  </si>
  <si>
    <t>Lack of /insufficient access to government social services</t>
  </si>
  <si>
    <t>Lack of /insufficient access to sufficient quantity or quality of food</t>
  </si>
  <si>
    <t>Lack of /insufficient access to a clean toilet and washing place</t>
  </si>
  <si>
    <t>Lack of /insufficient access to communication means</t>
  </si>
  <si>
    <t>Women do not feel safe enough in the community</t>
  </si>
  <si>
    <t>K_2 Households reporting first most significant challenge their household currently faces broken down by rural / urban on the admin of macroregion</t>
  </si>
  <si>
    <t>K_2 Households reporting first most significant challenge their household currently faces broken down by proximity to the Frontline / Russian border on the admin of macroregion</t>
  </si>
  <si>
    <t>Support households reportedly would like to receive broken down by displacement status of HoH on the admin of macroregion</t>
  </si>
  <si>
    <t>Access to energy (lighting, electricity, cooking fuels) </t>
  </si>
  <si>
    <t>Access to fuel sources for winter heating </t>
  </si>
  <si>
    <t>Cash </t>
  </si>
  <si>
    <t>Communication means </t>
  </si>
  <si>
    <t>Dignity kits </t>
  </si>
  <si>
    <t>E-recovery programme (benefits for damaged housing) </t>
  </si>
  <si>
    <t>Education for children under 18 </t>
  </si>
  <si>
    <t>Feminine hygiene products </t>
  </si>
  <si>
    <t>Food </t>
  </si>
  <si>
    <t>Healthcare </t>
  </si>
  <si>
    <t>Legal services (e.g. access to civil documentation) </t>
  </si>
  <si>
    <t>Livelihoods support / employment </t>
  </si>
  <si>
    <t>Monthly assistance to IDPs </t>
  </si>
  <si>
    <t>Nutrition (e.g. special nutritious foods for child/PLW, infant formula, nutrition supplements)</t>
  </si>
  <si>
    <t>One-time cash assistance to injured persons and IDPs </t>
  </si>
  <si>
    <t>Other essential household and personal items (clothes, blanket, cooking items, sleeping items, storing food) </t>
  </si>
  <si>
    <t>Other essential hygiene items (e.g. cleaning products, soap, etc.) </t>
  </si>
  <si>
    <t>Psychosocial support </t>
  </si>
  <si>
    <t>Sanitation services (e.g. toilets, waste collection) </t>
  </si>
  <si>
    <t>Shelter / housing (excluding E-recovery programme) </t>
  </si>
  <si>
    <t>Support debt repayment</t>
  </si>
  <si>
    <t>Support for protection / safety (e.g. training on mines and UXOs) </t>
  </si>
  <si>
    <t>Water for drinking</t>
  </si>
  <si>
    <t>Water for non-drinking purposes</t>
  </si>
  <si>
    <t>Support households reportedly would like to receive broken down by rural / urban on the admin of macroregion</t>
  </si>
  <si>
    <t>Support households reportedly would like to receive broken down by proximity to the Frontline / Russian border on the admin of macroregion</t>
  </si>
  <si>
    <t>Aid households reportedly would like to receive broken down by displacement status of HoH on the admin of macroregion</t>
  </si>
  <si>
    <t>Cash (one multipurpose payment)</t>
  </si>
  <si>
    <t>Cash (separate payments)</t>
  </si>
  <si>
    <t>Do not need aid</t>
  </si>
  <si>
    <t>In-kind</t>
  </si>
  <si>
    <t>Other modality (specify)</t>
  </si>
  <si>
    <t>Services</t>
  </si>
  <si>
    <t>Vouchers</t>
  </si>
  <si>
    <t>Aid households reportedly would like to receive broken down by rural / urban on the admin of macroregion</t>
  </si>
  <si>
    <t>Aid households reportedly would like to receive broken down by proximity to the Frontline / Russian border on the admin of macroregion</t>
  </si>
  <si>
    <t>K_6 Type of assisstance (feminine hygiene aid) households would like to receive broken down by displacement status of HoH on the admin of macroregion</t>
  </si>
  <si>
    <t>perc_K_6 Type of assisstance (feminine hygiene aid) households would like to receive</t>
  </si>
  <si>
    <t>perc_K_7 Type of assisstance (other hygiene items) households would like to receive</t>
  </si>
  <si>
    <t>perc_K_8 Type of assisstance (non-food items) households would like to receive</t>
  </si>
  <si>
    <t>perc_K_9 Type of assisstance (education) households would like to receive</t>
  </si>
  <si>
    <t>perc_K_10 Type of assisstance (fuel sources for heating) households would like to receive</t>
  </si>
  <si>
    <t>Yes, in-cash</t>
  </si>
  <si>
    <t>Yes, in-kind</t>
  </si>
  <si>
    <t>Yes, services</t>
  </si>
  <si>
    <t>K_11 Households Reported to have Received Humanitarian Assistance in the Last 12 months broken down by displacement status of HoH on the admin of macroregion</t>
  </si>
  <si>
    <t>1 to 3 months ago</t>
  </si>
  <si>
    <t>4 to 6 months ago</t>
  </si>
  <si>
    <t>7 to 12 months ago</t>
  </si>
  <si>
    <t>In the past 30 days</t>
  </si>
  <si>
    <t>More than 12 months ago</t>
  </si>
  <si>
    <t>Never receieved aid</t>
  </si>
  <si>
    <t>K_11 Households Reported to have Received Humanitarian Assistance in the Last 12 months broken down by rural / urban on the admin of macroregion</t>
  </si>
  <si>
    <t>K_11 Households Reported to have Received Humanitarian Assistance in the Last 12 months broken down by proximity to the Frontline / Russian border on the admin of macroregion</t>
  </si>
  <si>
    <t>Barriers Households reportedly faced during accessing aid broken down by displacement status of HoH on the admin of macroregion</t>
  </si>
  <si>
    <t>Did not attempt to receive any assistance in the past 12 months</t>
  </si>
  <si>
    <t>Yes, assistance not (regularly) available or functioning in area</t>
  </si>
  <si>
    <t>Yes, assistance not meeting household's needs</t>
  </si>
  <si>
    <t xml:space="preserve">Yes, difficulty to physically access assistance (e.g. long distances) </t>
  </si>
  <si>
    <t>Yes, discrimination</t>
  </si>
  <si>
    <t xml:space="preserve">Yes, do not have enough information on how assistance works and/or is provided </t>
  </si>
  <si>
    <t xml:space="preserve">Yes, do not have enough information on how to register for assistance </t>
  </si>
  <si>
    <t>Yes, do not have necessary documents</t>
  </si>
  <si>
    <t>Yes, fear of conscription</t>
  </si>
  <si>
    <t>Yes, feeling unsafe accessing assistance</t>
  </si>
  <si>
    <t>Yes, limited access to transport to access assistance</t>
  </si>
  <si>
    <t>Yes, not considered as eligible</t>
  </si>
  <si>
    <t>Yes, quality of assistance is poor</t>
  </si>
  <si>
    <t>Yes, registration process is too long/complicated</t>
  </si>
  <si>
    <t xml:space="preserve">Yes, request for bribe or other corruption challenges </t>
  </si>
  <si>
    <t>Barriers Households reportedly faced during accessing aid broken down by rural / urban on the admin of macroregion</t>
  </si>
  <si>
    <t>Barriers Households reportedly faced during accessing aid broken down by proximity to the Frontline / Russian border on the admin of macroregion</t>
  </si>
  <si>
    <t>Aid satisfaction reported by households broken down by displacement status of HoH on the admin of macroregion</t>
  </si>
  <si>
    <t>Dissatisfied</t>
  </si>
  <si>
    <t>Neither satisfied nor dissatisfied</t>
  </si>
  <si>
    <t>Satisfied</t>
  </si>
  <si>
    <t>Very Dissatisfied</t>
  </si>
  <si>
    <t>Very satisfied</t>
  </si>
  <si>
    <t>Aid satisfaction reported by households broken down by rural / urban on the admin of macroregion</t>
  </si>
  <si>
    <t>Aid satisfaction reported by households broken down by proximity to the Frontline / Russian border on the admin of macroregion</t>
  </si>
  <si>
    <t>Information Households would like to receive from aid providers broken down by displacement status of HoH on the admin of macroregion</t>
  </si>
  <si>
    <t xml:space="preserve">Finding missing people </t>
  </si>
  <si>
    <t>How to find work</t>
  </si>
  <si>
    <t>How to get healthcare/medical attention</t>
  </si>
  <si>
    <t>How to get help and stay safe from attack or harassment</t>
  </si>
  <si>
    <t>How to get more money/financial support</t>
  </si>
  <si>
    <t>How to get shelter/accommodation/shelter materials</t>
  </si>
  <si>
    <t>How to get water, food or nutrition</t>
  </si>
  <si>
    <t>How to register for aid</t>
  </si>
  <si>
    <t>How to replace personal documentation (e.g. birth certificate, ID)</t>
  </si>
  <si>
    <t>Information about possible return to place of origin</t>
  </si>
  <si>
    <t>Information about relocation (abroad or within Ukraine) and/or evacuation</t>
  </si>
  <si>
    <t>Information on how to complain about aid / aid providers</t>
  </si>
  <si>
    <t>Legal rights to housing, land and property</t>
  </si>
  <si>
    <t>Security situation and general updates on Ukraine</t>
  </si>
  <si>
    <t>Peferred mean of communication reported by households broken down by displacement status of HoH on the admin of macroregion</t>
  </si>
  <si>
    <t>Billboards, posters, leaflets</t>
  </si>
  <si>
    <t>Email</t>
  </si>
  <si>
    <t>Face-to-face (community leader/neighbors, family, friends/church, or religious leader</t>
  </si>
  <si>
    <t>Government Websites</t>
  </si>
  <si>
    <t>Messaging (including Viper, Telegram, etc.)</t>
  </si>
  <si>
    <t>Online news sites/newspapers/magazines</t>
  </si>
  <si>
    <t>Other internet platforms</t>
  </si>
  <si>
    <t>Phone call</t>
  </si>
  <si>
    <t>Printed newspapers/magazines</t>
  </si>
  <si>
    <t>Radio</t>
  </si>
  <si>
    <t>Social Media</t>
  </si>
  <si>
    <t xml:space="preserve">TV Station/Channel </t>
  </si>
  <si>
    <t>Households reportedly feeling involved in aid distribution broken down by displacement status of HoH on the admin of macroregion</t>
  </si>
  <si>
    <t>Preferred language of communication with aid providers broken down by displacement status of HoH on the admin of macroregion</t>
  </si>
  <si>
    <t>Hungarian</t>
  </si>
  <si>
    <t>Russian</t>
  </si>
  <si>
    <t>Ukrainian</t>
  </si>
  <si>
    <t>Households reporting to experience cuts in assisstance from the government broken down by displacement status of HoH on the admin of macroregion</t>
  </si>
  <si>
    <t>Other(specify)</t>
  </si>
  <si>
    <t>Yes pensions for people with disabilities</t>
  </si>
  <si>
    <t>Yes retirement pension</t>
  </si>
  <si>
    <t>Yes, IDP allowance, </t>
  </si>
  <si>
    <t>Yes, social assistance for families with low income</t>
  </si>
  <si>
    <t>Yes, social payments for the unemployed</t>
  </si>
  <si>
    <t>Households reportedly requiring legal assisstance broken down by displacement status of HoH on the admin of macroregion</t>
  </si>
  <si>
    <t>Yes, other reason (specify)</t>
  </si>
  <si>
    <t>Yes, to access pensions for IDPs</t>
  </si>
  <si>
    <t>Yes, to access social benefits</t>
  </si>
  <si>
    <t>Yes, to apply for IDP allowance</t>
  </si>
  <si>
    <t>Yes, to apply for compensation for damaged or destroyed property</t>
  </si>
  <si>
    <t>Yes, to apply for utility subsidies</t>
  </si>
  <si>
    <t>Yes, to obtain civil documents (birth, death, marriage, divorce)</t>
  </si>
  <si>
    <t>Yes, to obtain identity documents</t>
  </si>
  <si>
    <t>Yes, to obtain property documentation</t>
  </si>
  <si>
    <t>Yes, to resolve issues related to labour law</t>
  </si>
  <si>
    <t>Households reportedly requiring services provided by the government broken down by displacement status of HoH on the admin of macroregion</t>
  </si>
  <si>
    <t>Households reportedly facing barriers while accessing services provided by the government broken down by displacement status of HoH on the admin of macroregion</t>
  </si>
  <si>
    <t>Yes, discrimination against specific social groups</t>
  </si>
  <si>
    <t xml:space="preserve">Yes, distance, lack of, or cost for transportation to relevant facilities  </t>
  </si>
  <si>
    <t xml:space="preserve">Yes, insufficient number of social workers to provide services </t>
  </si>
  <si>
    <t>Yes, lack of available services</t>
  </si>
  <si>
    <t>Yes, lack of information about available services</t>
  </si>
  <si>
    <t>Yes, limited services for people with disability</t>
  </si>
  <si>
    <t>Yes, services are not always functional</t>
  </si>
  <si>
    <t>Yes, social workers from State institutions do not visit location often</t>
  </si>
  <si>
    <t>Yes, the quality of services is not adequate</t>
  </si>
  <si>
    <t>Households reportedly facing barriers while accessing services provided by the government broken down by rural / urban on the admin of macroregion</t>
  </si>
  <si>
    <t>Households reporting available services for women in their community broken down by displacement status of HoH on the admin of macroregion</t>
  </si>
  <si>
    <t>Childcare or elderly care support</t>
  </si>
  <si>
    <t>Educational support</t>
  </si>
  <si>
    <t>Health services, not including reproductive health</t>
  </si>
  <si>
    <t xml:space="preserve">Legal </t>
  </si>
  <si>
    <t>Livelihood services, excluding vocational training</t>
  </si>
  <si>
    <t>Psychosocial support</t>
  </si>
  <si>
    <t xml:space="preserve">Recreational activities </t>
  </si>
  <si>
    <t>Reproductive health services</t>
  </si>
  <si>
    <t>Services for victims of violence</t>
  </si>
  <si>
    <t>Support for care providers for children or elderly</t>
  </si>
  <si>
    <t>Support for persons with disabilities</t>
  </si>
  <si>
    <t>Vocational training</t>
  </si>
  <si>
    <t>Households reporting available services for women in their community broken down by rural / urban on the admin of macroregion</t>
  </si>
  <si>
    <t>Households reporting needed services related to children's well-being  broken down by displacement status of HoH on the admin of macroregion</t>
  </si>
  <si>
    <t>Childcare (incl. nursery, pre-school)</t>
  </si>
  <si>
    <t>Health services</t>
  </si>
  <si>
    <t>Legal</t>
  </si>
  <si>
    <t>Mental health and psychosocial support</t>
  </si>
  <si>
    <t>Social support for families</t>
  </si>
  <si>
    <t>Households reporting needed services related to children's well-being  broken down by rural / urban on the admin of macroregion</t>
  </si>
  <si>
    <t>Percentage of households adopting reduced coping strategies, by strategy (rCSI) broken down by rural / urban on the admin of macroregion</t>
  </si>
  <si>
    <t>perc_Households relying on less preferred and less expensive food to cope wLM Over the Last 7 Days</t>
  </si>
  <si>
    <t>perc_Households that had to borrow food or rely on help from a relative or friend to cope wLM Over the Last 7 Days</t>
  </si>
  <si>
    <t>perc_Households that had to limit portion size of meals at meal times to cope wLM Over the Last 7 Days</t>
  </si>
  <si>
    <t>perc_Households that had to restrict consumption by adults in order for small children to eat to cope wLM Over the Last 7 Days Prior</t>
  </si>
  <si>
    <t xml:space="preserve">perc_Households that had to reduce number of meals eaten in a day to cope wLM Over the Last 7 Days </t>
  </si>
  <si>
    <t>no</t>
  </si>
  <si>
    <t>yes</t>
  </si>
  <si>
    <t>Percentage of households adopting reduced coping strategies, by strategy (rCSI) broken down by proximity to the Frontline / Russian border on the admin of macroregion</t>
  </si>
  <si>
    <t xml:space="preserve">indicator </t>
  </si>
  <si>
    <t>disaggregations_label</t>
  </si>
  <si>
    <t>CCIA</t>
  </si>
  <si>
    <t>overall</t>
  </si>
  <si>
    <t>Livelihoods CCIA</t>
  </si>
  <si>
    <t>by disability overall</t>
  </si>
  <si>
    <t>Livelihoods - Income Source</t>
  </si>
  <si>
    <t>household members with a WGSS disability</t>
  </si>
  <si>
    <t>Livelihoods - Income Quantity</t>
  </si>
  <si>
    <t>by IDP households</t>
  </si>
  <si>
    <t>Livelihoods - Coping Strategies</t>
  </si>
  <si>
    <t>by displacement status of HoH</t>
  </si>
  <si>
    <t>Education CCIA</t>
  </si>
  <si>
    <t xml:space="preserve">by household age </t>
  </si>
  <si>
    <t>Education - Enrollment</t>
  </si>
  <si>
    <t>by household size</t>
  </si>
  <si>
    <t>Education - Conducive Environment</t>
  </si>
  <si>
    <t>by urbanity</t>
  </si>
  <si>
    <t>Education - Disruptions</t>
  </si>
  <si>
    <t>by 30km to FL / RB</t>
  </si>
  <si>
    <t>Shelter NFI CCIA</t>
  </si>
  <si>
    <t>by proximity to FL / RB</t>
  </si>
  <si>
    <t>Shelter NFI - Shelter Type</t>
  </si>
  <si>
    <t>by households with children</t>
  </si>
  <si>
    <t>Shelter NFI - Shelter Issues and Damage</t>
  </si>
  <si>
    <t>by care provider</t>
  </si>
  <si>
    <t>Shelter NFI - Security of Tenure</t>
  </si>
  <si>
    <t>by household type</t>
  </si>
  <si>
    <t>Shelter NFI - Electricity</t>
  </si>
  <si>
    <t>Shelter NFI - Utility</t>
  </si>
  <si>
    <t>Shelter NFI - Domestic Tasks</t>
  </si>
  <si>
    <t>Shelter NFI - NFIs</t>
  </si>
  <si>
    <t>Health CCIA</t>
  </si>
  <si>
    <t>Health needs</t>
  </si>
  <si>
    <t>Disability</t>
  </si>
  <si>
    <t>Access to medicine</t>
  </si>
  <si>
    <t>Nearest medical facility</t>
  </si>
  <si>
    <t>Barriers to access</t>
  </si>
  <si>
    <t>Protection CCIA</t>
  </si>
  <si>
    <t>Protection - Safety and security</t>
  </si>
  <si>
    <t>Protection - Barriers</t>
  </si>
  <si>
    <t>Protection - Needs</t>
  </si>
  <si>
    <t>Protection - Assistance</t>
  </si>
  <si>
    <t>Protection - Child Separation</t>
  </si>
  <si>
    <t>Food security CCIA</t>
  </si>
  <si>
    <t>WASH CCIA</t>
  </si>
  <si>
    <t>WASH - Water Quantity</t>
  </si>
  <si>
    <t>WASH - Drinking Water Quality</t>
  </si>
  <si>
    <t>WASH - Sanitation</t>
  </si>
  <si>
    <t>WASH - Hygiene</t>
  </si>
  <si>
    <t>WASH - Missing NFIs</t>
  </si>
  <si>
    <t>WASH - Access to Technical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</si>
</sst>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000000"/>
      <name val="Aptos Narrow"/>
      <family val="2"/>
    </font>
    <font>
      <sz val="11"/>
      <color rgb="FF000000"/>
      <name val="Aptos Narrow"/>
      <family val="2"/>
    </font>
    <font>
      <sz val="11"/>
      <color theme="1"/>
      <name val="Calibri"/>
      <family val="2"/>
      <scheme val="minor"/>
    </font>
    <font>
      <b/>
      <sz val="11"/>
      <color theme="1"/>
      <name val="Calibri"/>
      <family val="2"/>
      <scheme val="minor"/>
    </font>
    <font>
      <b/>
      <sz val="20"/>
      <color rgb="FF000000"/>
      <name val="Arial Narrow"/>
      <family val="2"/>
    </font>
    <font>
      <b/>
      <u/>
      <sz val="14"/>
      <color rgb="FF000000"/>
      <name val="Arial Narrow"/>
      <family val="2"/>
    </font>
    <font>
      <b/>
      <sz val="14"/>
      <color theme="1"/>
      <name val="Calibri"/>
      <family val="2"/>
      <scheme val="minor"/>
    </font>
    <font>
      <b/>
      <sz val="14"/>
      <color rgb="FFFF0000"/>
      <name val="Calibri"/>
      <family val="2"/>
      <scheme val="minor"/>
    </font>
    <font>
      <sz val="12"/>
      <color theme="1"/>
      <name val="Calibri"/>
      <family val="2"/>
      <scheme val="minor"/>
    </font>
    <font>
      <sz val="16"/>
      <color theme="1"/>
      <name val="Calibri"/>
      <family val="2"/>
      <scheme val="minor"/>
    </font>
    <font>
      <b/>
      <sz val="18"/>
      <color rgb="FFFF0000"/>
      <name val="Arial Narrow"/>
      <family val="2"/>
    </font>
    <font>
      <b/>
      <sz val="11"/>
      <color rgb="FFFFFFFF"/>
      <name val="Arial Narrow"/>
      <family val="2"/>
    </font>
    <font>
      <b/>
      <sz val="11"/>
      <color rgb="FFFF0000"/>
      <name val="Arial Narrow"/>
      <family val="2"/>
    </font>
    <font>
      <b/>
      <sz val="10"/>
      <name val="Arial Narrow"/>
      <family val="2"/>
    </font>
    <font>
      <sz val="10"/>
      <name val="Arial Narrow"/>
      <family val="2"/>
    </font>
    <font>
      <b/>
      <sz val="10"/>
      <color rgb="FF000000"/>
      <name val="Arial Narrow"/>
      <family val="2"/>
    </font>
    <font>
      <sz val="10"/>
      <color rgb="FF000000"/>
      <name val="Arial Narrow"/>
    </font>
    <font>
      <b/>
      <sz val="10"/>
      <color rgb="FF000000"/>
      <name val="Arial Narrow"/>
    </font>
    <font>
      <sz val="11"/>
      <color rgb="FF000000"/>
      <name val="Arial Narrow"/>
      <family val="2"/>
    </font>
  </fonts>
  <fills count="8">
    <fill>
      <patternFill patternType="none"/>
    </fill>
    <fill>
      <patternFill patternType="gray125"/>
    </fill>
    <fill>
      <patternFill patternType="solid">
        <fgColor rgb="FFEE5859"/>
        <bgColor rgb="FFD63F40"/>
      </patternFill>
    </fill>
    <fill>
      <patternFill patternType="solid">
        <fgColor theme="0"/>
        <bgColor indexed="64"/>
      </patternFill>
    </fill>
    <fill>
      <patternFill patternType="solid">
        <fgColor rgb="FFD9D9D9"/>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EE585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bottom/>
      <diagonal/>
    </border>
  </borders>
  <cellStyleXfs count="2">
    <xf numFmtId="0" fontId="0" fillId="0" borderId="0"/>
    <xf numFmtId="0" fontId="3" fillId="0" borderId="0"/>
  </cellStyleXfs>
  <cellXfs count="34">
    <xf numFmtId="0" fontId="0" fillId="0" borderId="0" xfId="0"/>
    <xf numFmtId="10" fontId="0" fillId="0" borderId="0" xfId="0" applyNumberFormat="1"/>
    <xf numFmtId="0" fontId="1" fillId="0" borderId="1" xfId="0" applyFont="1" applyBorder="1"/>
    <xf numFmtId="0" fontId="2" fillId="0" borderId="1" xfId="0" applyFont="1" applyBorder="1"/>
    <xf numFmtId="0" fontId="2" fillId="0" borderId="0" xfId="0" applyFont="1"/>
    <xf numFmtId="0" fontId="2" fillId="0" borderId="1" xfId="0" applyFont="1" applyBorder="1" applyAlignment="1">
      <alignment vertical="center"/>
    </xf>
    <xf numFmtId="0" fontId="6" fillId="0" borderId="2" xfId="1" applyFont="1" applyBorder="1" applyAlignment="1">
      <alignment horizontal="left" vertical="center"/>
    </xf>
    <xf numFmtId="0" fontId="5" fillId="0" borderId="2" xfId="1" applyFont="1" applyBorder="1" applyAlignment="1">
      <alignment horizontal="center" vertical="center" wrapText="1"/>
    </xf>
    <xf numFmtId="0" fontId="7" fillId="0" borderId="2" xfId="0" applyFont="1" applyBorder="1" applyAlignment="1">
      <alignment horizontal="left" vertical="center"/>
    </xf>
    <xf numFmtId="0" fontId="0" fillId="0" borderId="2" xfId="0" applyBorder="1"/>
    <xf numFmtId="0" fontId="4" fillId="0" borderId="2" xfId="0" applyFont="1" applyBorder="1"/>
    <xf numFmtId="0" fontId="7" fillId="0" borderId="2" xfId="0" applyFont="1" applyBorder="1" applyAlignment="1">
      <alignment horizontal="center" vertical="center"/>
    </xf>
    <xf numFmtId="0" fontId="9" fillId="0" borderId="2" xfId="0" applyFont="1" applyBorder="1" applyAlignment="1">
      <alignment horizontal="left" vertical="center"/>
    </xf>
    <xf numFmtId="0" fontId="10" fillId="0" borderId="0" xfId="0" applyFont="1"/>
    <xf numFmtId="0" fontId="12" fillId="2" borderId="3" xfId="1" applyFont="1" applyFill="1" applyBorder="1" applyAlignment="1">
      <alignment horizontal="left" vertical="top" wrapText="1"/>
    </xf>
    <xf numFmtId="0" fontId="13" fillId="3" borderId="4" xfId="1" applyFont="1" applyFill="1" applyBorder="1" applyAlignment="1">
      <alignment horizontal="left" vertical="center" wrapText="1"/>
    </xf>
    <xf numFmtId="0" fontId="13" fillId="3" borderId="4" xfId="1" applyFont="1" applyFill="1" applyBorder="1" applyAlignment="1">
      <alignment horizontal="left" vertical="top" wrapText="1"/>
    </xf>
    <xf numFmtId="0" fontId="14" fillId="4" borderId="5" xfId="1" applyFont="1" applyFill="1" applyBorder="1" applyAlignment="1">
      <alignment horizontal="center" vertical="center" wrapText="1"/>
    </xf>
    <xf numFmtId="0" fontId="15" fillId="4" borderId="5" xfId="1" applyFont="1" applyFill="1" applyBorder="1" applyAlignment="1">
      <alignment horizontal="left" vertical="top" wrapText="1"/>
    </xf>
    <xf numFmtId="0" fontId="14" fillId="3" borderId="4" xfId="1" applyFont="1" applyFill="1" applyBorder="1" applyAlignment="1">
      <alignment horizontal="center" vertical="center" wrapText="1"/>
    </xf>
    <xf numFmtId="0" fontId="15" fillId="3" borderId="4" xfId="1" applyFont="1" applyFill="1" applyBorder="1" applyAlignment="1">
      <alignment horizontal="left" vertical="top" wrapText="1"/>
    </xf>
    <xf numFmtId="0" fontId="16" fillId="5" borderId="4" xfId="0" applyFont="1" applyFill="1" applyBorder="1" applyAlignment="1">
      <alignment horizontal="center" vertical="center" wrapText="1"/>
    </xf>
    <xf numFmtId="0" fontId="17" fillId="5" borderId="4" xfId="0" applyFont="1" applyFill="1" applyBorder="1" applyAlignment="1">
      <alignment vertical="center" wrapText="1"/>
    </xf>
    <xf numFmtId="0" fontId="17" fillId="3" borderId="4" xfId="1" applyFont="1" applyFill="1" applyBorder="1" applyAlignment="1">
      <alignment horizontal="left" vertical="top" wrapText="1"/>
    </xf>
    <xf numFmtId="0" fontId="19" fillId="6" borderId="4" xfId="0" applyFont="1" applyFill="1" applyBorder="1" applyAlignment="1">
      <alignment vertical="center" wrapText="1"/>
    </xf>
    <xf numFmtId="0" fontId="15" fillId="0" borderId="6" xfId="1" applyFont="1" applyBorder="1" applyAlignment="1">
      <alignment horizontal="left" vertical="top" wrapText="1"/>
    </xf>
    <xf numFmtId="0" fontId="15" fillId="0" borderId="0" xfId="1" applyFont="1" applyAlignment="1">
      <alignment horizontal="left" vertical="top" wrapText="1"/>
    </xf>
    <xf numFmtId="0" fontId="12" fillId="2" borderId="1" xfId="1" applyFont="1" applyFill="1" applyBorder="1" applyAlignment="1">
      <alignment horizontal="left" vertical="top" wrapText="1"/>
    </xf>
    <xf numFmtId="0" fontId="15" fillId="4" borderId="1" xfId="1" applyFont="1" applyFill="1" applyBorder="1" applyAlignment="1">
      <alignment horizontal="left" vertical="top" wrapText="1"/>
    </xf>
    <xf numFmtId="0" fontId="0" fillId="7" borderId="0" xfId="0" applyFill="1"/>
    <xf numFmtId="10" fontId="0" fillId="7" borderId="0" xfId="0" applyNumberFormat="1" applyFill="1"/>
    <xf numFmtId="0" fontId="11" fillId="0" borderId="1" xfId="1" applyFont="1" applyBorder="1" applyAlignment="1">
      <alignment horizontal="center" vertical="center" wrapText="1"/>
    </xf>
    <xf numFmtId="14" fontId="14" fillId="6" borderId="4" xfId="1" applyNumberFormat="1" applyFont="1" applyFill="1" applyBorder="1" applyAlignment="1">
      <alignment horizontal="center" vertical="center" wrapText="1"/>
    </xf>
    <xf numFmtId="0" fontId="5" fillId="0" borderId="2" xfId="1" applyFont="1" applyBorder="1" applyAlignment="1">
      <alignment horizontal="left" vertical="center" wrapText="1"/>
    </xf>
  </cellXfs>
  <cellStyles count="2">
    <cellStyle name="Normal" xfId="0" builtinId="0"/>
    <cellStyle name="Normal 2" xfId="1" xr:uid="{17815787-695C-4ABD-A0EC-38469035840C}"/>
  </cellStyles>
  <dxfs count="1">
    <dxf>
      <font>
        <strike val="0"/>
        <outline val="0"/>
        <shadow val="0"/>
        <u val="none"/>
        <vertAlign val="baseline"/>
        <sz val="16"/>
        <color theme="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1</xdr:col>
      <xdr:colOff>5810249</xdr:colOff>
      <xdr:row>3</xdr:row>
      <xdr:rowOff>26670</xdr:rowOff>
    </xdr:from>
    <xdr:to>
      <xdr:col>4</xdr:col>
      <xdr:colOff>1758949</xdr:colOff>
      <xdr:row>4</xdr:row>
      <xdr:rowOff>34289</xdr:rowOff>
    </xdr:to>
    <mc:AlternateContent xmlns:mc="http://schemas.openxmlformats.org/markup-compatibility/2006" xmlns:sle15="http://schemas.microsoft.com/office/drawing/2012/slicer">
      <mc:Choice Requires="sle15">
        <xdr:graphicFrame macro="">
          <xdr:nvGraphicFramePr>
            <xdr:cNvPr id="5" name="Indicator">
              <a:extLst>
                <a:ext uri="{FF2B5EF4-FFF2-40B4-BE49-F238E27FC236}">
                  <a16:creationId xmlns:a16="http://schemas.microsoft.com/office/drawing/2014/main" id="{02BE38FC-1D44-4F51-C134-6F05B99F7629}"/>
                </a:ext>
              </a:extLst>
            </xdr:cNvPr>
            <xdr:cNvGraphicFramePr/>
          </xdr:nvGraphicFramePr>
          <xdr:xfrm>
            <a:off x="0" y="0"/>
            <a:ext cx="0" cy="0"/>
          </xdr:xfrm>
          <a:graphic>
            <a:graphicData uri="http://schemas.microsoft.com/office/drawing/2010/slicer">
              <sle:slicer xmlns:sle="http://schemas.microsoft.com/office/drawing/2010/slicer" name="Indicator"/>
            </a:graphicData>
          </a:graphic>
        </xdr:graphicFrame>
      </mc:Choice>
      <mc:Fallback xmlns="">
        <xdr:sp macro="" textlink="">
          <xdr:nvSpPr>
            <xdr:cNvPr id="0" name=""/>
            <xdr:cNvSpPr>
              <a:spLocks noTextEdit="1"/>
            </xdr:cNvSpPr>
          </xdr:nvSpPr>
          <xdr:spPr>
            <a:xfrm>
              <a:off x="6724649" y="912495"/>
              <a:ext cx="4295775" cy="185546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2336458</xdr:colOff>
      <xdr:row>3</xdr:row>
      <xdr:rowOff>47626</xdr:rowOff>
    </xdr:from>
    <xdr:to>
      <xdr:col>4</xdr:col>
      <xdr:colOff>5007415</xdr:colOff>
      <xdr:row>3</xdr:row>
      <xdr:rowOff>1830706</xdr:rowOff>
    </xdr:to>
    <mc:AlternateContent xmlns:mc="http://schemas.openxmlformats.org/markup-compatibility/2006" xmlns:sle15="http://schemas.microsoft.com/office/drawing/2012/slicer">
      <mc:Choice Requires="sle15">
        <xdr:graphicFrame macro="">
          <xdr:nvGraphicFramePr>
            <xdr:cNvPr id="6" name="disaggregations">
              <a:extLst>
                <a:ext uri="{FF2B5EF4-FFF2-40B4-BE49-F238E27FC236}">
                  <a16:creationId xmlns:a16="http://schemas.microsoft.com/office/drawing/2014/main" id="{33372171-29D1-D33B-E4D5-967B816252DB}"/>
                </a:ext>
              </a:extLst>
            </xdr:cNvPr>
            <xdr:cNvGraphicFramePr/>
          </xdr:nvGraphicFramePr>
          <xdr:xfrm>
            <a:off x="0" y="0"/>
            <a:ext cx="0" cy="0"/>
          </xdr:xfrm>
          <a:graphic>
            <a:graphicData uri="http://schemas.microsoft.com/office/drawing/2010/slicer">
              <sle:slicer xmlns:sle="http://schemas.microsoft.com/office/drawing/2010/slicer" name="disaggregations"/>
            </a:graphicData>
          </a:graphic>
        </xdr:graphicFrame>
      </mc:Choice>
      <mc:Fallback xmlns="">
        <xdr:sp macro="" textlink="">
          <xdr:nvSpPr>
            <xdr:cNvPr id="0" name=""/>
            <xdr:cNvSpPr>
              <a:spLocks noTextEdit="1"/>
            </xdr:cNvSpPr>
          </xdr:nvSpPr>
          <xdr:spPr>
            <a:xfrm>
              <a:off x="11597933" y="933451"/>
              <a:ext cx="2670957" cy="17830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914399</xdr:colOff>
      <xdr:row>3</xdr:row>
      <xdr:rowOff>57150</xdr:rowOff>
    </xdr:from>
    <xdr:to>
      <xdr:col>1</xdr:col>
      <xdr:colOff>3686174</xdr:colOff>
      <xdr:row>3</xdr:row>
      <xdr:rowOff>1838325</xdr:rowOff>
    </xdr:to>
    <mc:AlternateContent xmlns:mc="http://schemas.openxmlformats.org/markup-compatibility/2006" xmlns:sle15="http://schemas.microsoft.com/office/drawing/2012/slicer">
      <mc:Choice Requires="sle15">
        <xdr:graphicFrame macro="">
          <xdr:nvGraphicFramePr>
            <xdr:cNvPr id="2" name="Sector">
              <a:extLst>
                <a:ext uri="{FF2B5EF4-FFF2-40B4-BE49-F238E27FC236}">
                  <a16:creationId xmlns:a16="http://schemas.microsoft.com/office/drawing/2014/main" id="{852A0ED8-0797-AC48-84D7-B5B463F5A042}"/>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914399" y="942975"/>
              <a:ext cx="3686175" cy="17811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 xr10:uid="{ED6BF10F-F530-4C98-9057-06721672C8A7}" sourceName="Indicator">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aggregations" xr10:uid="{19E47B80-57AD-41A0-A051-F09FF2946421}" sourceName="disaggregations">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ABFBF7B2-2566-4F45-BAD3-92E1EF68D952}" sourceName="Sector">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xr10:uid="{5CA4747C-F9B4-4BA1-9A77-9FCF3451DA26}" cache="Slicer_Indicator" caption="Indicator" startItem="93" style="SlicerStyleLight2" rowHeight="234950"/>
  <slicer name="disaggregations" xr10:uid="{54F35299-9246-484F-9761-9BD60AA7C31D}" cache="Slicer_disaggregations" caption="disaggregations" startItem="3" style="SlicerStyleDark2" rowHeight="234950"/>
  <slicer name="Sector" xr10:uid="{0C3CCD33-886D-4BFD-9C9C-664825B2235C}" cache="Slicer_Sector" caption="Sector"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EE13CC-9B82-4F81-9029-B79C94BFA7F5}" name="Table1" displayName="Table1" ref="A6:E334" totalsRowShown="0" headerRowDxfId="0">
  <autoFilter ref="A6:E334" xr:uid="{05EE13CC-9B82-4F81-9029-B79C94BFA7F5}">
    <filterColumn colId="2">
      <filters>
        <filter val="proximity to frontline and Russian border"/>
      </filters>
    </filterColumn>
  </autoFilter>
  <tableColumns count="5">
    <tableColumn id="5" xr3:uid="{1F884E60-47F3-4EEC-9DBC-63366D2FC888}" name="Sector"/>
    <tableColumn id="1" xr3:uid="{4DC20CE7-95F4-4FAC-B4AA-E3DDA39DB921}" name="Indicator"/>
    <tableColumn id="2" xr3:uid="{8228A6D8-D3F4-4C54-B141-3D8E67D0D85D}" name="disaggregations"/>
    <tableColumn id="3" xr3:uid="{8AE4ED33-6C0E-4000-8EBC-7A1D8685BE39}" name="ID"/>
    <tableColumn id="4" xr3:uid="{3EE5EF6F-283F-486D-B92C-58A524B465EE}" name="Link"/>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77DF-8AA2-42F5-9975-F7063A0E9E1A}">
  <dimension ref="A1:B14"/>
  <sheetViews>
    <sheetView topLeftCell="A3" workbookViewId="0">
      <selection activeCell="B7" sqref="B7"/>
    </sheetView>
  </sheetViews>
  <sheetFormatPr defaultRowHeight="15" x14ac:dyDescent="0.25"/>
  <cols>
    <col min="1" max="1" width="32.85546875" customWidth="1"/>
    <col min="2" max="2" width="145.5703125" bestFit="1" customWidth="1"/>
  </cols>
  <sheetData>
    <row r="1" spans="1:2" ht="23.25" x14ac:dyDescent="0.25">
      <c r="A1" s="31" t="s">
        <v>0</v>
      </c>
      <c r="B1" s="31"/>
    </row>
    <row r="2" spans="1:2" ht="16.5" x14ac:dyDescent="0.25">
      <c r="A2" s="14" t="s">
        <v>1</v>
      </c>
      <c r="B2" s="14" t="s">
        <v>2</v>
      </c>
    </row>
    <row r="3" spans="1:2" ht="66" customHeight="1" x14ac:dyDescent="0.25">
      <c r="A3" s="15" t="s">
        <v>3</v>
      </c>
      <c r="B3" s="16" t="s">
        <v>4</v>
      </c>
    </row>
    <row r="4" spans="1:2" ht="408" x14ac:dyDescent="0.25">
      <c r="A4" s="17" t="s">
        <v>5</v>
      </c>
      <c r="B4" s="18" t="s">
        <v>6</v>
      </c>
    </row>
    <row r="5" spans="1:2" ht="15" customHeight="1" x14ac:dyDescent="0.25">
      <c r="A5" s="19" t="s">
        <v>7</v>
      </c>
      <c r="B5" s="20" t="s">
        <v>8</v>
      </c>
    </row>
    <row r="6" spans="1:2" ht="15" customHeight="1" x14ac:dyDescent="0.25">
      <c r="A6" s="21" t="s">
        <v>9</v>
      </c>
      <c r="B6" s="22" t="s">
        <v>10</v>
      </c>
    </row>
    <row r="7" spans="1:2" ht="134.25" customHeight="1" x14ac:dyDescent="0.25">
      <c r="A7" s="19" t="s">
        <v>11</v>
      </c>
      <c r="B7" s="23" t="s">
        <v>12</v>
      </c>
    </row>
    <row r="8" spans="1:2" ht="16.5" x14ac:dyDescent="0.25">
      <c r="A8" s="32" t="s">
        <v>13</v>
      </c>
      <c r="B8" s="24" t="s">
        <v>14</v>
      </c>
    </row>
    <row r="9" spans="1:2" ht="16.5" x14ac:dyDescent="0.25">
      <c r="A9" s="32"/>
      <c r="B9" s="24" t="s">
        <v>15</v>
      </c>
    </row>
    <row r="10" spans="1:2" x14ac:dyDescent="0.25">
      <c r="A10" s="25"/>
      <c r="B10" s="26"/>
    </row>
    <row r="11" spans="1:2" ht="16.5" x14ac:dyDescent="0.25">
      <c r="A11" s="27" t="s">
        <v>16</v>
      </c>
      <c r="B11" s="27" t="s">
        <v>2</v>
      </c>
    </row>
    <row r="12" spans="1:2" x14ac:dyDescent="0.25">
      <c r="A12" s="28" t="s">
        <v>17</v>
      </c>
      <c r="B12" s="28" t="s">
        <v>18</v>
      </c>
    </row>
    <row r="13" spans="1:2" ht="25.5" x14ac:dyDescent="0.25">
      <c r="A13" s="28" t="s">
        <v>19</v>
      </c>
      <c r="B13" s="28" t="s">
        <v>20</v>
      </c>
    </row>
    <row r="14" spans="1:2" x14ac:dyDescent="0.25">
      <c r="A14" s="28" t="s">
        <v>21</v>
      </c>
      <c r="B14" s="28" t="s">
        <v>22</v>
      </c>
    </row>
  </sheetData>
  <mergeCells count="2">
    <mergeCell ref="A1:B1"/>
    <mergeCell ref="A8: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4"/>
  <sheetViews>
    <sheetView topLeftCell="B1" zoomScaleNormal="100" workbookViewId="0">
      <selection activeCell="C335" sqref="C335"/>
    </sheetView>
  </sheetViews>
  <sheetFormatPr defaultRowHeight="15" x14ac:dyDescent="0.25"/>
  <cols>
    <col min="1" max="1" width="13.7109375" bestFit="1" customWidth="1"/>
    <col min="2" max="2" width="87.7109375" customWidth="1"/>
    <col min="3" max="3" width="16" customWidth="1"/>
    <col min="4" max="4" width="20.7109375" customWidth="1"/>
    <col min="5" max="5" width="143.42578125" bestFit="1" customWidth="1"/>
  </cols>
  <sheetData>
    <row r="1" spans="1:6" ht="25.5" x14ac:dyDescent="0.25">
      <c r="B1" s="33" t="s">
        <v>23</v>
      </c>
      <c r="C1" s="33"/>
      <c r="D1" s="33"/>
      <c r="E1" s="33"/>
      <c r="F1" s="33"/>
    </row>
    <row r="2" spans="1:6" ht="25.5" x14ac:dyDescent="0.25">
      <c r="B2" s="6" t="s">
        <v>24</v>
      </c>
      <c r="C2" s="7"/>
      <c r="E2" s="7"/>
      <c r="F2" s="7"/>
    </row>
    <row r="3" spans="1:6" ht="18.75" x14ac:dyDescent="0.25">
      <c r="B3" s="8" t="s">
        <v>25</v>
      </c>
      <c r="C3" s="11" t="s">
        <v>26</v>
      </c>
      <c r="E3" s="11" t="s">
        <v>27</v>
      </c>
      <c r="F3" s="11"/>
    </row>
    <row r="4" spans="1:6" ht="145.9" customHeight="1" x14ac:dyDescent="0.25">
      <c r="B4" s="9"/>
      <c r="C4" s="8"/>
      <c r="D4" s="12"/>
      <c r="E4" s="10"/>
    </row>
    <row r="6" spans="1:6" ht="21" x14ac:dyDescent="0.35">
      <c r="A6" s="13" t="s">
        <v>28</v>
      </c>
      <c r="B6" s="13" t="s">
        <v>29</v>
      </c>
      <c r="C6" s="13" t="s">
        <v>30</v>
      </c>
      <c r="D6" s="13" t="s">
        <v>31</v>
      </c>
      <c r="E6" s="13" t="s">
        <v>32</v>
      </c>
    </row>
    <row r="7" spans="1:6" hidden="1" x14ac:dyDescent="0.25">
      <c r="A7" t="s">
        <v>33</v>
      </c>
      <c r="B7" t="s">
        <v>34</v>
      </c>
      <c r="C7" t="s">
        <v>35</v>
      </c>
      <c r="D7">
        <v>1</v>
      </c>
      <c r="E7" t="str">
        <f>HYPERLINK("#'Data'!A1", "Age of respondents broken down by displacement status of HoH on the admin of macroregion mean")</f>
        <v>Age of respondents broken down by displacement status of HoH on the admin of macroregion mean</v>
      </c>
    </row>
    <row r="8" spans="1:6" hidden="1" x14ac:dyDescent="0.25">
      <c r="A8" t="s">
        <v>33</v>
      </c>
      <c r="B8" t="s">
        <v>36</v>
      </c>
      <c r="C8" t="s">
        <v>37</v>
      </c>
      <c r="D8">
        <v>2</v>
      </c>
      <c r="E8" t="str">
        <f>HYPERLINK("#'Data'!A14", "A_18 Respondents Reportedly being Head of the Household (HoH)  broken down by gender of respondent on the admin of macroregion perc")</f>
        <v>A_18 Respondents Reportedly being Head of the Household (HoH)  broken down by gender of respondent on the admin of macroregion perc</v>
      </c>
    </row>
    <row r="9" spans="1:6" hidden="1" x14ac:dyDescent="0.25">
      <c r="A9" t="s">
        <v>33</v>
      </c>
      <c r="B9" t="s">
        <v>38</v>
      </c>
      <c r="C9" t="s">
        <v>35</v>
      </c>
      <c r="D9">
        <v>3</v>
      </c>
      <c r="E9" t="str">
        <f>HYPERLINK("#'Data'!A36", "B_2 Household size broken down by displacement status of HoH on the admin of macroregion mean")</f>
        <v>B_2 Household size broken down by displacement status of HoH on the admin of macroregion mean</v>
      </c>
    </row>
    <row r="10" spans="1:6" hidden="1" x14ac:dyDescent="0.25">
      <c r="A10" t="s">
        <v>33</v>
      </c>
      <c r="B10" t="s">
        <v>39</v>
      </c>
      <c r="C10" t="s">
        <v>35</v>
      </c>
      <c r="D10">
        <v>4</v>
      </c>
      <c r="E10" t="str">
        <f>HYPERLINK("#'Data'!A49", "B_5 Age of Household members broken down by displacement status of HoH on the admin of macroregion mean")</f>
        <v>B_5 Age of Household members broken down by displacement status of HoH on the admin of macroregion mean</v>
      </c>
    </row>
    <row r="11" spans="1:6" hidden="1" x14ac:dyDescent="0.25">
      <c r="A11" t="s">
        <v>33</v>
      </c>
      <c r="B11" t="s">
        <v>40</v>
      </c>
      <c r="C11" t="s">
        <v>35</v>
      </c>
      <c r="D11">
        <v>5</v>
      </c>
      <c r="E11" t="str">
        <f>HYPERLINK("#'Data'!A62", "B_7 Gender of Household members broken down by displacement status of HoH on the admin of macroregion perc")</f>
        <v>B_7 Gender of Household members broken down by displacement status of HoH on the admin of macroregion perc</v>
      </c>
    </row>
    <row r="12" spans="1:6" hidden="1" x14ac:dyDescent="0.25">
      <c r="A12" t="s">
        <v>33</v>
      </c>
      <c r="B12" t="s">
        <v>41</v>
      </c>
      <c r="C12" t="s">
        <v>35</v>
      </c>
      <c r="D12">
        <v>6</v>
      </c>
      <c r="E12" t="str">
        <f>HYPERLINK("#'Data'!A75", "B_12 Education of Heads of Households broken down by displacement status of HoH on the admin of macroregion perc")</f>
        <v>B_12 Education of Heads of Households broken down by displacement status of HoH on the admin of macroregion perc</v>
      </c>
    </row>
    <row r="13" spans="1:6" hidden="1" x14ac:dyDescent="0.25">
      <c r="A13" t="s">
        <v>33</v>
      </c>
      <c r="B13" t="s">
        <v>41</v>
      </c>
      <c r="C13" t="s">
        <v>35</v>
      </c>
      <c r="D13">
        <v>7</v>
      </c>
      <c r="E13" t="str">
        <f>HYPERLINK("#'Data'!A88", "B_12 Education of Heads of Households broken down by rural / urban on the admin of macroregion perc")</f>
        <v>B_12 Education of Heads of Households broken down by rural / urban on the admin of macroregion perc</v>
      </c>
    </row>
    <row r="14" spans="1:6" hidden="1" x14ac:dyDescent="0.25">
      <c r="A14" t="s">
        <v>33</v>
      </c>
      <c r="B14" t="s">
        <v>42</v>
      </c>
      <c r="C14" t="s">
        <v>35</v>
      </c>
      <c r="D14">
        <v>8</v>
      </c>
      <c r="E14" t="str">
        <f>HYPERLINK("#'Data'!A110", "E_2 Employment status of Household members broken down by displacement status of HoH on the admin of macroregion perc")</f>
        <v>E_2 Employment status of Household members broken down by displacement status of HoH on the admin of macroregion perc</v>
      </c>
    </row>
    <row r="15" spans="1:6" hidden="1" x14ac:dyDescent="0.25">
      <c r="A15" t="s">
        <v>33</v>
      </c>
      <c r="B15" t="s">
        <v>42</v>
      </c>
      <c r="C15" t="s">
        <v>43</v>
      </c>
      <c r="D15">
        <v>9</v>
      </c>
      <c r="E15" t="str">
        <f>HYPERLINK("#'Data'!A123", "E_2 Employment status of Household members broken down by age of household members of employment age on the admin of macroregion perc")</f>
        <v>E_2 Employment status of Household members broken down by age of household members of employment age on the admin of macroregion perc</v>
      </c>
    </row>
    <row r="16" spans="1:6" hidden="1" x14ac:dyDescent="0.25">
      <c r="A16" t="s">
        <v>33</v>
      </c>
      <c r="B16" t="s">
        <v>42</v>
      </c>
      <c r="C16" t="s">
        <v>44</v>
      </c>
      <c r="D16">
        <v>10</v>
      </c>
      <c r="E16" t="str">
        <f>HYPERLINK("#'Data'!A172", "E_2 Employment status of Household members broken down by gender of household members of employment age on the admin of macroregion perc")</f>
        <v>E_2 Employment status of Household members broken down by gender of household members of employment age on the admin of macroregion perc</v>
      </c>
    </row>
    <row r="17" spans="1:5" hidden="1" x14ac:dyDescent="0.25">
      <c r="A17" t="s">
        <v>33</v>
      </c>
      <c r="B17" t="s">
        <v>42</v>
      </c>
      <c r="C17" t="s">
        <v>45</v>
      </c>
      <c r="D17">
        <v>11</v>
      </c>
      <c r="E17" t="str">
        <f>HYPERLINK("#'Data'!A195", "E_2 Employment status of Household members broken down by rural / urban on the admin of macroregion perc")</f>
        <v>E_2 Employment status of Household members broken down by rural / urban on the admin of macroregion perc</v>
      </c>
    </row>
    <row r="18" spans="1:5" hidden="1" x14ac:dyDescent="0.25">
      <c r="A18" t="s">
        <v>33</v>
      </c>
      <c r="B18" t="s">
        <v>46</v>
      </c>
      <c r="C18" t="s">
        <v>35</v>
      </c>
      <c r="D18">
        <v>12</v>
      </c>
      <c r="E18" t="str">
        <f>HYPERLINK("#'Data'!A217", "E_3 Household members who reportedly sought job in the past 4 weeks  broken down by displacement status of HoH on the admin of macroregion perc")</f>
        <v>E_3 Household members who reportedly sought job in the past 4 weeks  broken down by displacement status of HoH on the admin of macroregion perc</v>
      </c>
    </row>
    <row r="19" spans="1:5" hidden="1" x14ac:dyDescent="0.25">
      <c r="A19" t="s">
        <v>33</v>
      </c>
      <c r="B19" t="s">
        <v>46</v>
      </c>
      <c r="C19" t="s">
        <v>43</v>
      </c>
      <c r="D19">
        <v>13</v>
      </c>
      <c r="E19" t="str">
        <f>HYPERLINK("#'Data'!A230", "E_3 Household members who reportedly sought job in the past 4 weeks  broken down by age of household members of employment age on the admin of macr...")</f>
        <v>E_3 Household members who reportedly sought job in the past 4 weeks  broken down by age of household members of employment age on the admin of macr...</v>
      </c>
    </row>
    <row r="20" spans="1:5" hidden="1" x14ac:dyDescent="0.25">
      <c r="A20" t="s">
        <v>33</v>
      </c>
      <c r="B20" t="s">
        <v>46</v>
      </c>
      <c r="C20" t="s">
        <v>44</v>
      </c>
      <c r="D20">
        <v>14</v>
      </c>
      <c r="E20" t="str">
        <f>HYPERLINK("#'Data'!A270", "E_3 Household members who reportedly sought job in the past 4 weeks  broken down by gender of household members of employment age on the admin of m...")</f>
        <v>E_3 Household members who reportedly sought job in the past 4 weeks  broken down by gender of household members of employment age on the admin of m...</v>
      </c>
    </row>
    <row r="21" spans="1:5" hidden="1" x14ac:dyDescent="0.25">
      <c r="A21" t="s">
        <v>33</v>
      </c>
      <c r="B21" t="s">
        <v>46</v>
      </c>
      <c r="C21" t="s">
        <v>45</v>
      </c>
      <c r="D21">
        <v>15</v>
      </c>
      <c r="E21" t="str">
        <f>HYPERLINK("#'Data'!A293", "E_3 Household members who reportedly sought job in the past 4 weeks  broken down by rural / urban on the admin of macroregion perc")</f>
        <v>E_3 Household members who reportedly sought job in the past 4 weeks  broken down by rural / urban on the admin of macroregion perc</v>
      </c>
    </row>
    <row r="22" spans="1:5" hidden="1" x14ac:dyDescent="0.25">
      <c r="A22" t="s">
        <v>33</v>
      </c>
      <c r="B22" t="s">
        <v>46</v>
      </c>
      <c r="C22" t="s">
        <v>35</v>
      </c>
      <c r="D22">
        <v>16</v>
      </c>
      <c r="E22" t="str">
        <f>HYPERLINK("#'Data'!A315", "E_4 Employment barriers faced by household members that sought job in the last 4 weeks broken down by displacement status of HoH on the admin of ma...")</f>
        <v>E_4 Employment barriers faced by household members that sought job in the last 4 weeks broken down by displacement status of HoH on the admin of ma...</v>
      </c>
    </row>
    <row r="23" spans="1:5" hidden="1" x14ac:dyDescent="0.25">
      <c r="A23" t="s">
        <v>33</v>
      </c>
      <c r="B23" t="s">
        <v>46</v>
      </c>
      <c r="C23" t="s">
        <v>47</v>
      </c>
      <c r="D23">
        <v>17</v>
      </c>
      <c r="E23" t="str">
        <f>HYPERLINK("#'Data'!A328", "E_4 Employment barriers faced by household members that sought job in the last 4 weeks broken down by age of household members of employment age on...")</f>
        <v>E_4 Employment barriers faced by household members that sought job in the last 4 weeks broken down by age of household members of employment age on...</v>
      </c>
    </row>
    <row r="24" spans="1:5" hidden="1" x14ac:dyDescent="0.25">
      <c r="A24" t="s">
        <v>33</v>
      </c>
      <c r="B24" t="s">
        <v>46</v>
      </c>
      <c r="C24" t="s">
        <v>44</v>
      </c>
      <c r="D24">
        <v>18</v>
      </c>
      <c r="E24" t="str">
        <f>HYPERLINK("#'Data'!A367", "E_4 Employment barriers faced by household members that sought job in the last 4 weeks broken down by gender of household members of employment age...")</f>
        <v>E_4 Employment barriers faced by household members that sought job in the last 4 weeks broken down by gender of household members of employment age...</v>
      </c>
    </row>
    <row r="25" spans="1:5" hidden="1" x14ac:dyDescent="0.25">
      <c r="A25" t="s">
        <v>33</v>
      </c>
      <c r="B25" t="s">
        <v>46</v>
      </c>
      <c r="C25" t="s">
        <v>45</v>
      </c>
      <c r="D25">
        <v>19</v>
      </c>
      <c r="E25" t="str">
        <f>HYPERLINK("#'Data'!A390", "E_4 Employment barriers faced by household members that sought job in the last 4 weeks broken down by rural / urban on the admin of macroregion per...")</f>
        <v>E_4 Employment barriers faced by household members that sought job in the last 4 weeks broken down by rural / urban on the admin of macroregion per...</v>
      </c>
    </row>
    <row r="26" spans="1:5" hidden="1" x14ac:dyDescent="0.25">
      <c r="A26" t="s">
        <v>48</v>
      </c>
      <c r="B26" t="s">
        <v>49</v>
      </c>
      <c r="C26" t="s">
        <v>35</v>
      </c>
      <c r="D26">
        <v>20</v>
      </c>
      <c r="E26" t="str">
        <f>HYPERLINK("#'Data'!A412", "B_8 Medical Facility where a newborn was born broken down by displacement status of HoH on the admin of macroregion perc")</f>
        <v>B_8 Medical Facility where a newborn was born broken down by displacement status of HoH on the admin of macroregion perc</v>
      </c>
    </row>
    <row r="27" spans="1:5" hidden="1" x14ac:dyDescent="0.25">
      <c r="A27" t="s">
        <v>48</v>
      </c>
      <c r="B27" t="s">
        <v>50</v>
      </c>
      <c r="C27" t="s">
        <v>35</v>
      </c>
      <c r="D27">
        <v>21</v>
      </c>
      <c r="E27" t="str">
        <f>HYPERLINK("#'Data'!A425", "D_3 Household members that had a medical problem in the last 3 months and needed to access healthcare broken down by displacement status of HoH on ...")</f>
        <v>D_3 Household members that had a medical problem in the last 3 months and needed to access healthcare broken down by displacement status of HoH on ...</v>
      </c>
    </row>
    <row r="28" spans="1:5" hidden="1" x14ac:dyDescent="0.25">
      <c r="A28" t="s">
        <v>48</v>
      </c>
      <c r="B28" t="s">
        <v>50</v>
      </c>
      <c r="C28" t="s">
        <v>47</v>
      </c>
      <c r="D28">
        <v>22</v>
      </c>
      <c r="E28" t="str">
        <f>HYPERLINK("#'Data'!A438", "D_3 Household members that had a medical problem in the last 3 months and needed to access healthcare broken down by age of household members on th...")</f>
        <v>D_3 Household members that had a medical problem in the last 3 months and needed to access healthcare broken down by age of household members on th...</v>
      </c>
    </row>
    <row r="29" spans="1:5" hidden="1" x14ac:dyDescent="0.25">
      <c r="A29" t="s">
        <v>48</v>
      </c>
      <c r="B29" t="s">
        <v>50</v>
      </c>
      <c r="C29" t="s">
        <v>45</v>
      </c>
      <c r="D29">
        <v>23</v>
      </c>
      <c r="E29" t="str">
        <f>HYPERLINK("#'Data'!A559", "D_3 Household members that had a medical problem in the last 3 months and needed to access healthcare broken down by rural / urban on the admin of ...")</f>
        <v>D_3 Household members that had a medical problem in the last 3 months and needed to access healthcare broken down by rural / urban on the admin of ...</v>
      </c>
    </row>
    <row r="30" spans="1:5" hidden="1" x14ac:dyDescent="0.25">
      <c r="A30" t="s">
        <v>48</v>
      </c>
      <c r="B30" t="s">
        <v>51</v>
      </c>
      <c r="C30" t="s">
        <v>35</v>
      </c>
      <c r="D30">
        <v>24</v>
      </c>
      <c r="E30" t="str">
        <f>HYPERLINK("#'Data'!A581", "D_5 Household members by reported ability to obtain healthcare when they needed it broken down by displacement status of HoH on the admin of macror...")</f>
        <v>D_5 Household members by reported ability to obtain healthcare when they needed it broken down by displacement status of HoH on the admin of macror...</v>
      </c>
    </row>
    <row r="31" spans="1:5" hidden="1" x14ac:dyDescent="0.25">
      <c r="A31" t="s">
        <v>48</v>
      </c>
      <c r="B31" t="s">
        <v>51</v>
      </c>
      <c r="C31" t="s">
        <v>45</v>
      </c>
      <c r="D31">
        <v>25</v>
      </c>
      <c r="E31" t="str">
        <f>HYPERLINK("#'Data'!A594", "D_5 Household members by reported ability to obtain healthcare when they needed it broken down by rural / urban on the admin of macroregion perc")</f>
        <v>D_5 Household members by reported ability to obtain healthcare when they needed it broken down by rural / urban on the admin of macroregion perc</v>
      </c>
    </row>
    <row r="32" spans="1:5" hidden="1" x14ac:dyDescent="0.25">
      <c r="A32" t="s">
        <v>48</v>
      </c>
      <c r="B32" t="s">
        <v>52</v>
      </c>
      <c r="C32" t="s">
        <v>35</v>
      </c>
      <c r="D32">
        <v>26</v>
      </c>
      <c r="E32" t="str">
        <f>HYPERLINK("#'Data'!A616", "D_4 Household members that reportedly needed healthcare by type of need broken down by displacement status of HoH on the admin of macroregion perc")</f>
        <v>D_4 Household members that reportedly needed healthcare by type of need broken down by displacement status of HoH on the admin of macroregion perc</v>
      </c>
    </row>
    <row r="33" spans="1:5" hidden="1" x14ac:dyDescent="0.25">
      <c r="A33" t="s">
        <v>48</v>
      </c>
      <c r="B33" t="s">
        <v>52</v>
      </c>
      <c r="C33" t="s">
        <v>45</v>
      </c>
      <c r="D33">
        <v>27</v>
      </c>
      <c r="E33" t="str">
        <f>HYPERLINK("#'Data'!A629", "D_4 Household members that reportedly needed healthcare by type of need broken down by rural / urban on the admin of macroregion perc")</f>
        <v>D_4 Household members that reportedly needed healthcare by type of need broken down by rural / urban on the admin of macroregion perc</v>
      </c>
    </row>
    <row r="34" spans="1:5" hidden="1" x14ac:dyDescent="0.25">
      <c r="A34" t="s">
        <v>48</v>
      </c>
      <c r="B34" t="s">
        <v>53</v>
      </c>
      <c r="C34" t="s">
        <v>35</v>
      </c>
      <c r="D34">
        <v>28</v>
      </c>
      <c r="E34" t="str">
        <f>HYPERLINK("#'Data'!A651", "Distance to the nearest medical facility broken down by displacement status of HoH on the admin of macroregion mean")</f>
        <v>Distance to the nearest medical facility broken down by displacement status of HoH on the admin of macroregion mean</v>
      </c>
    </row>
    <row r="35" spans="1:5" hidden="1" x14ac:dyDescent="0.25">
      <c r="A35" t="s">
        <v>48</v>
      </c>
      <c r="B35" t="s">
        <v>54</v>
      </c>
      <c r="C35" t="s">
        <v>35</v>
      </c>
      <c r="D35">
        <v>29</v>
      </c>
      <c r="E35" t="str">
        <f>HYPERLINK("#'Data'!A664", "Households that reportedly sought any medicine in the last 3 months broken down by displacement status of HoH on the admin of macroregion perc")</f>
        <v>Households that reportedly sought any medicine in the last 3 months broken down by displacement status of HoH on the admin of macroregion perc</v>
      </c>
    </row>
    <row r="36" spans="1:5" hidden="1" x14ac:dyDescent="0.25">
      <c r="A36" t="s">
        <v>48</v>
      </c>
      <c r="B36" t="s">
        <v>54</v>
      </c>
      <c r="C36" t="s">
        <v>45</v>
      </c>
      <c r="D36">
        <v>30</v>
      </c>
      <c r="E36" t="str">
        <f>HYPERLINK("#'Data'!A677", "Households that reportedly sought any medicine in the last 3 months broken down by rural / urban on the admin of macroregion perc")</f>
        <v>Households that reportedly sought any medicine in the last 3 months broken down by rural / urban on the admin of macroregion perc</v>
      </c>
    </row>
    <row r="37" spans="1:5" hidden="1" x14ac:dyDescent="0.25">
      <c r="A37" t="s">
        <v>48</v>
      </c>
      <c r="B37" t="s">
        <v>55</v>
      </c>
      <c r="C37" t="s">
        <v>35</v>
      </c>
      <c r="D37">
        <v>31</v>
      </c>
      <c r="E37" t="str">
        <f>HYPERLINK("#'Data'!A699", "Households that were able to obtain the medicine they sought in the last 3 months broken down by displacement status of HoH on the admin of macrore...")</f>
        <v>Households that were able to obtain the medicine they sought in the last 3 months broken down by displacement status of HoH on the admin of macrore...</v>
      </c>
    </row>
    <row r="38" spans="1:5" hidden="1" x14ac:dyDescent="0.25">
      <c r="A38" t="s">
        <v>48</v>
      </c>
      <c r="B38" t="s">
        <v>55</v>
      </c>
      <c r="C38" t="s">
        <v>45</v>
      </c>
      <c r="D38">
        <v>32</v>
      </c>
      <c r="E38" t="str">
        <f>HYPERLINK("#'Data'!A712", "Households that were able to obtain the medicine they sought in the last 3 months broken down by rural / urban on the admin of macroregion perc")</f>
        <v>Households that were able to obtain the medicine they sought in the last 3 months broken down by rural / urban on the admin of macroregion perc</v>
      </c>
    </row>
    <row r="39" spans="1:5" hidden="1" x14ac:dyDescent="0.25">
      <c r="A39" t="s">
        <v>48</v>
      </c>
      <c r="B39" t="s">
        <v>56</v>
      </c>
      <c r="C39" t="s">
        <v>35</v>
      </c>
      <c r="D39">
        <v>33</v>
      </c>
      <c r="E39" t="str">
        <f>HYPERLINK("#'Data'!A734", "Households by types of medicines sought in the last 3 months broken down by displacement status of HoH on the admin of macroregion perc")</f>
        <v>Households by types of medicines sought in the last 3 months broken down by displacement status of HoH on the admin of macroregion perc</v>
      </c>
    </row>
    <row r="40" spans="1:5" hidden="1" x14ac:dyDescent="0.25">
      <c r="A40" t="s">
        <v>48</v>
      </c>
      <c r="B40" t="s">
        <v>57</v>
      </c>
      <c r="C40" t="s">
        <v>35</v>
      </c>
      <c r="D40">
        <v>34</v>
      </c>
      <c r="E40" t="str">
        <f>HYPERLINK("#'Data'!A746", "Households that reportedly were unable to obtain medicine from Affordable Medicine Program broken down by displacement status of HoH on the admin o...")</f>
        <v>Households that reportedly were unable to obtain medicine from Affordable Medicine Program broken down by displacement status of HoH on the admin o...</v>
      </c>
    </row>
    <row r="41" spans="1:5" hidden="1" x14ac:dyDescent="0.25">
      <c r="A41" t="s">
        <v>48</v>
      </c>
      <c r="B41" t="s">
        <v>58</v>
      </c>
      <c r="C41" t="s">
        <v>35</v>
      </c>
      <c r="D41">
        <v>35</v>
      </c>
      <c r="E41" t="str">
        <f>HYPERLINK("#'Data'!A758", "Households by reported reasons for not being able to obtain medicine from Affordable Medicine Program broken down by displacement status of HoH on ...")</f>
        <v>Households by reported reasons for not being able to obtain medicine from Affordable Medicine Program broken down by displacement status of HoH on ...</v>
      </c>
    </row>
    <row r="42" spans="1:5" hidden="1" x14ac:dyDescent="0.25">
      <c r="A42" t="s">
        <v>48</v>
      </c>
      <c r="B42" t="s">
        <v>59</v>
      </c>
      <c r="C42" t="s">
        <v>35</v>
      </c>
      <c r="D42">
        <v>36</v>
      </c>
      <c r="E42" t="str">
        <f>HYPERLINK("#'Data'!A769", "Households reporting barriers while accessing healthcare/medication broken down by displacement status of HoH on the admin of macroregion perc")</f>
        <v>Households reporting barriers while accessing healthcare/medication broken down by displacement status of HoH on the admin of macroregion perc</v>
      </c>
    </row>
    <row r="43" spans="1:5" hidden="1" x14ac:dyDescent="0.25">
      <c r="A43" t="s">
        <v>48</v>
      </c>
      <c r="B43" t="s">
        <v>60</v>
      </c>
      <c r="C43" t="s">
        <v>35</v>
      </c>
      <c r="D43">
        <v>37</v>
      </c>
      <c r="E43" t="str">
        <f>HYPERLINK("#'Data'!A782", "Households with women (12-49 y.o.) reportedly having the information on where to access sexual and reproductive health services broken down by disp...")</f>
        <v>Households with women (12-49 y.o.) reportedly having the information on where to access sexual and reproductive health services broken down by disp...</v>
      </c>
    </row>
    <row r="44" spans="1:5" hidden="1" x14ac:dyDescent="0.25">
      <c r="A44" t="s">
        <v>48</v>
      </c>
      <c r="B44" t="s">
        <v>61</v>
      </c>
      <c r="C44" t="s">
        <v>35</v>
      </c>
      <c r="D44">
        <v>38</v>
      </c>
      <c r="E44" t="str">
        <f>HYPERLINK("#'Data'!A795", "Households reportedly experiencing at least 2 weeks of notable stress in the last 6 months broken down by displacement status of HoH on the admin o...")</f>
        <v>Households reportedly experiencing at least 2 weeks of notable stress in the last 6 months broken down by displacement status of HoH on the admin o...</v>
      </c>
    </row>
    <row r="45" spans="1:5" hidden="1" x14ac:dyDescent="0.25">
      <c r="A45" t="s">
        <v>48</v>
      </c>
      <c r="B45" t="s">
        <v>61</v>
      </c>
      <c r="C45" t="s">
        <v>45</v>
      </c>
      <c r="D45">
        <v>39</v>
      </c>
      <c r="E45" t="str">
        <f>HYPERLINK("#'Data'!A808", "Households reportedly experiencing at least 2 weeks of notable stress in the last 6 months broken down by rural / urban on the admin of macroregion...")</f>
        <v>Households reportedly experiencing at least 2 weeks of notable stress in the last 6 months broken down by rural / urban on the admin of macroregion...</v>
      </c>
    </row>
    <row r="46" spans="1:5" x14ac:dyDescent="0.25">
      <c r="A46" t="s">
        <v>48</v>
      </c>
      <c r="B46" t="s">
        <v>61</v>
      </c>
      <c r="C46" t="s">
        <v>62</v>
      </c>
      <c r="D46">
        <v>40</v>
      </c>
      <c r="E46" t="str">
        <f>HYPERLINK("#'Data'!A830", "Households reportedly experiencing at least 2 weeks of notable stress in the last 6 months broken down by proximity to the Frontline / Russian bord...")</f>
        <v>Households reportedly experiencing at least 2 weeks of notable stress in the last 6 months broken down by proximity to the Frontline / Russian bord...</v>
      </c>
    </row>
    <row r="47" spans="1:5" hidden="1" x14ac:dyDescent="0.25">
      <c r="A47" t="s">
        <v>48</v>
      </c>
      <c r="B47" t="s">
        <v>61</v>
      </c>
      <c r="C47" t="s">
        <v>35</v>
      </c>
      <c r="D47">
        <v>41</v>
      </c>
      <c r="E47" t="str">
        <f>HYPERLINK("#'Data'!A856", "Households reportedly experiencing at least 2 weeks of depressed mood in the last 6 months broken down by displacement status of HoH on the admin o...")</f>
        <v>Households reportedly experiencing at least 2 weeks of depressed mood in the last 6 months broken down by displacement status of HoH on the admin o...</v>
      </c>
    </row>
    <row r="48" spans="1:5" hidden="1" x14ac:dyDescent="0.25">
      <c r="A48" t="s">
        <v>48</v>
      </c>
      <c r="B48" t="s">
        <v>61</v>
      </c>
      <c r="C48" t="s">
        <v>45</v>
      </c>
      <c r="D48">
        <v>42</v>
      </c>
      <c r="E48" t="str">
        <f>HYPERLINK("#'Data'!A869", "Households reportedly experiencing at least 2 weeks of depressed mood in the last 6 months broken down by rural / urban on the admin of macroregion...")</f>
        <v>Households reportedly experiencing at least 2 weeks of depressed mood in the last 6 months broken down by rural / urban on the admin of macroregion...</v>
      </c>
    </row>
    <row r="49" spans="1:5" x14ac:dyDescent="0.25">
      <c r="A49" t="s">
        <v>48</v>
      </c>
      <c r="B49" t="s">
        <v>63</v>
      </c>
      <c r="C49" t="s">
        <v>62</v>
      </c>
      <c r="D49">
        <v>43</v>
      </c>
      <c r="E49" t="str">
        <f>HYPERLINK("#'Data'!A891", "Households reportedly experiencing at least 2 weeks of depressed mood in the last 6 months broken down by proximity to the Frontline / Russian bord...")</f>
        <v>Households reportedly experiencing at least 2 weeks of depressed mood in the last 6 months broken down by proximity to the Frontline / Russian bord...</v>
      </c>
    </row>
    <row r="50" spans="1:5" hidden="1" x14ac:dyDescent="0.25">
      <c r="A50" t="s">
        <v>48</v>
      </c>
      <c r="B50" t="s">
        <v>64</v>
      </c>
      <c r="C50" t="s">
        <v>35</v>
      </c>
      <c r="D50">
        <v>44</v>
      </c>
      <c r="E50" t="str">
        <f>HYPERLINK("#'Data'!A917", "Households reportedly experiencing at least 2 weeks of anxiety in the last 6 months broken down by displacement status of HoH on the admin of macro...")</f>
        <v>Households reportedly experiencing at least 2 weeks of anxiety in the last 6 months broken down by displacement status of HoH on the admin of macro...</v>
      </c>
    </row>
    <row r="51" spans="1:5" hidden="1" x14ac:dyDescent="0.25">
      <c r="A51" t="s">
        <v>48</v>
      </c>
      <c r="B51" t="s">
        <v>64</v>
      </c>
      <c r="C51" t="s">
        <v>45</v>
      </c>
      <c r="D51">
        <v>45</v>
      </c>
      <c r="E51" t="str">
        <f>HYPERLINK("#'Data'!A930", "Households reportedly experiencing at least 2 weeks of anxiety in the last 6 months broken down by rural / urban on the admin of macroregion perc")</f>
        <v>Households reportedly experiencing at least 2 weeks of anxiety in the last 6 months broken down by rural / urban on the admin of macroregion perc</v>
      </c>
    </row>
    <row r="52" spans="1:5" x14ac:dyDescent="0.25">
      <c r="A52" t="s">
        <v>48</v>
      </c>
      <c r="B52" t="s">
        <v>64</v>
      </c>
      <c r="C52" t="s">
        <v>62</v>
      </c>
      <c r="D52">
        <v>46</v>
      </c>
      <c r="E52" t="str">
        <f>HYPERLINK("#'Data'!A952", "Households reportedly experiencing at least 2 weeks of anxiety in the last 6 months broken down by proximity to the Frontline / Russian border on t...")</f>
        <v>Households reportedly experiencing at least 2 weeks of anxiety in the last 6 months broken down by proximity to the Frontline / Russian border on t...</v>
      </c>
    </row>
    <row r="53" spans="1:5" hidden="1" x14ac:dyDescent="0.25">
      <c r="A53" t="s">
        <v>48</v>
      </c>
      <c r="B53" t="s">
        <v>65</v>
      </c>
      <c r="C53" t="s">
        <v>35</v>
      </c>
      <c r="D53">
        <v>47</v>
      </c>
      <c r="E53" t="str">
        <f>HYPERLINK("#'Data'!A978", "Households that reportedly have at least 1 member that has registered disability broken down by displacement status of HoH on the admin of macroreg...")</f>
        <v>Households that reportedly have at least 1 member that has registered disability broken down by displacement status of HoH on the admin of macroreg...</v>
      </c>
    </row>
    <row r="54" spans="1:5" hidden="1" x14ac:dyDescent="0.25">
      <c r="A54" t="s">
        <v>48</v>
      </c>
      <c r="B54" t="s">
        <v>65</v>
      </c>
      <c r="C54" t="s">
        <v>45</v>
      </c>
      <c r="D54">
        <v>48</v>
      </c>
      <c r="E54" t="str">
        <f>HYPERLINK("#'Data'!A991", "Households that reportedly have at least 1 member that has registered disability broken down by rural / urban on the admin of macroregion perc")</f>
        <v>Households that reportedly have at least 1 member that has registered disability broken down by rural / urban on the admin of macroregion perc</v>
      </c>
    </row>
    <row r="55" spans="1:5" hidden="1" x14ac:dyDescent="0.25">
      <c r="A55" t="s">
        <v>48</v>
      </c>
      <c r="B55" t="s">
        <v>66</v>
      </c>
      <c r="C55" t="s">
        <v>35</v>
      </c>
      <c r="D55">
        <v>49</v>
      </c>
      <c r="E55" t="str">
        <f>HYPERLINK("#'Data'!A1013", "Households that reportedly have at least 1 member that has difficulties seeing broken down by displacement status of HoH on the admin of macroregio...")</f>
        <v>Households that reportedly have at least 1 member that has difficulties seeing broken down by displacement status of HoH on the admin of macroregio...</v>
      </c>
    </row>
    <row r="56" spans="1:5" hidden="1" x14ac:dyDescent="0.25">
      <c r="A56" t="s">
        <v>48</v>
      </c>
      <c r="B56" t="s">
        <v>67</v>
      </c>
      <c r="C56" t="s">
        <v>35</v>
      </c>
      <c r="D56">
        <v>50</v>
      </c>
      <c r="E56" t="str">
        <f>HYPERLINK("#'Data'!A1026", "Households that reportedly have at least 1 member that has difficulties hearing broken down by displacement status of HoH on the admin of macroregi...")</f>
        <v>Households that reportedly have at least 1 member that has difficulties hearing broken down by displacement status of HoH on the admin of macroregi...</v>
      </c>
    </row>
    <row r="57" spans="1:5" hidden="1" x14ac:dyDescent="0.25">
      <c r="A57" t="s">
        <v>48</v>
      </c>
      <c r="B57" t="s">
        <v>68</v>
      </c>
      <c r="C57" t="s">
        <v>35</v>
      </c>
      <c r="D57">
        <v>51</v>
      </c>
      <c r="E57" t="str">
        <f>HYPERLINK("#'Data'!A1039", "Households that reportedly have at least 1 member that has difficulties walking broken down by displacement status of HoH on the admin of macroregi...")</f>
        <v>Households that reportedly have at least 1 member that has difficulties walking broken down by displacement status of HoH on the admin of macroregi...</v>
      </c>
    </row>
    <row r="58" spans="1:5" hidden="1" x14ac:dyDescent="0.25">
      <c r="A58" t="s">
        <v>48</v>
      </c>
      <c r="B58" t="s">
        <v>69</v>
      </c>
      <c r="C58" t="s">
        <v>35</v>
      </c>
      <c r="D58">
        <v>52</v>
      </c>
      <c r="E58" t="str">
        <f>HYPERLINK("#'Data'!A1052", "Households that reportedly have at least 1 member that has difficulties concentrating broken down by displacement status of HoH on the admin of mac...")</f>
        <v>Households that reportedly have at least 1 member that has difficulties concentrating broken down by displacement status of HoH on the admin of mac...</v>
      </c>
    </row>
    <row r="59" spans="1:5" hidden="1" x14ac:dyDescent="0.25">
      <c r="A59" t="s">
        <v>48</v>
      </c>
      <c r="B59" t="s">
        <v>70</v>
      </c>
      <c r="C59" t="s">
        <v>35</v>
      </c>
      <c r="D59">
        <v>53</v>
      </c>
      <c r="E59" t="str">
        <f>HYPERLINK("#'Data'!A1065", "Households that reportedly have at least 1 member that has difficulties with self-care broken down by displacement status of HoH on the admin of ma...")</f>
        <v>Households that reportedly have at least 1 member that has difficulties with self-care broken down by displacement status of HoH on the admin of ma...</v>
      </c>
    </row>
    <row r="60" spans="1:5" hidden="1" x14ac:dyDescent="0.25">
      <c r="A60" t="s">
        <v>48</v>
      </c>
      <c r="B60" t="s">
        <v>71</v>
      </c>
      <c r="C60" t="s">
        <v>35</v>
      </c>
      <c r="D60">
        <v>54</v>
      </c>
      <c r="E60" t="str">
        <f>HYPERLINK("#'Data'!A1078", "Households that reportedly have at least 1 member that has difficulties communicating broken down by displacement status of HoH on the admin of mac...")</f>
        <v>Households that reportedly have at least 1 member that has difficulties communicating broken down by displacement status of HoH on the admin of mac...</v>
      </c>
    </row>
    <row r="61" spans="1:5" hidden="1" x14ac:dyDescent="0.25">
      <c r="A61" t="s">
        <v>72</v>
      </c>
      <c r="B61" t="s">
        <v>73</v>
      </c>
      <c r="C61" t="s">
        <v>35</v>
      </c>
      <c r="D61">
        <v>55</v>
      </c>
      <c r="E61" t="str">
        <f>HYPERLINK("#'Data'!A1091", "Households separated for three months or more due to reasons related to the war broken down by displacement status of HoH on the admin of macroregi...")</f>
        <v>Households separated for three months or more due to reasons related to the war broken down by displacement status of HoH on the admin of macroregi...</v>
      </c>
    </row>
    <row r="62" spans="1:5" hidden="1" x14ac:dyDescent="0.25">
      <c r="A62" t="s">
        <v>72</v>
      </c>
      <c r="B62" t="s">
        <v>74</v>
      </c>
      <c r="C62" t="s">
        <v>35</v>
      </c>
      <c r="D62">
        <v>56</v>
      </c>
      <c r="E62" t="str">
        <f>HYPERLINK("#'Data'!A1104", "Households that moved abroad for at least 14 days broken down by displacement status of HoH on the admin of macroregion perc")</f>
        <v>Households that moved abroad for at least 14 days broken down by displacement status of HoH on the admin of macroregion perc</v>
      </c>
    </row>
    <row r="63" spans="1:5" hidden="1" x14ac:dyDescent="0.25">
      <c r="A63" t="s">
        <v>72</v>
      </c>
      <c r="B63" t="s">
        <v>75</v>
      </c>
      <c r="C63" t="s">
        <v>35</v>
      </c>
      <c r="D63">
        <v>57</v>
      </c>
      <c r="E63" t="str">
        <f>HYPERLINK("#'Data'!A1117", "IDP households and households displaced within settlement duration in current place of residence broken down by displacement status of HoH on the a...")</f>
        <v>IDP households and households displaced within settlement duration in current place of residence broken down by displacement status of HoH on the a...</v>
      </c>
    </row>
    <row r="64" spans="1:5" hidden="1" x14ac:dyDescent="0.25">
      <c r="A64" t="s">
        <v>72</v>
      </c>
      <c r="B64" t="s">
        <v>76</v>
      </c>
      <c r="C64" t="s">
        <v>45</v>
      </c>
      <c r="D64">
        <v>58</v>
      </c>
      <c r="E64" t="str">
        <f>HYPERLINK("#'Data'!A1130", "Households reporting reasons for return to their habitual place of residence broken down by rural / urban on the admin of macroregion perc")</f>
        <v>Households reporting reasons for return to their habitual place of residence broken down by rural / urban on the admin of macroregion perc</v>
      </c>
    </row>
    <row r="65" spans="1:5" x14ac:dyDescent="0.25">
      <c r="A65" t="s">
        <v>72</v>
      </c>
      <c r="B65" t="s">
        <v>76</v>
      </c>
      <c r="C65" t="s">
        <v>62</v>
      </c>
      <c r="D65">
        <v>59</v>
      </c>
      <c r="E65" t="str">
        <f>HYPERLINK("#'Data'!A1142", "Households reporting reasons for return to their habitual place of residence broken down by proximity to the Frontline / Russian border on the admi...")</f>
        <v>Households reporting reasons for return to their habitual place of residence broken down by proximity to the Frontline / Russian border on the admi...</v>
      </c>
    </row>
    <row r="66" spans="1:5" hidden="1" x14ac:dyDescent="0.25">
      <c r="A66" t="s">
        <v>72</v>
      </c>
      <c r="B66" t="s">
        <v>77</v>
      </c>
      <c r="C66" t="s">
        <v>35</v>
      </c>
      <c r="D66">
        <v>60</v>
      </c>
      <c r="E66" t="str">
        <f>HYPERLINK("#'Data'!A1156", "Households reporting their movement intentions for the next 12 months broken down by displacement status of HoH on the admin of macroregion perc")</f>
        <v>Households reporting their movement intentions for the next 12 months broken down by displacement status of HoH on the admin of macroregion perc</v>
      </c>
    </row>
    <row r="67" spans="1:5" hidden="1" x14ac:dyDescent="0.25">
      <c r="A67" t="s">
        <v>72</v>
      </c>
      <c r="B67" t="s">
        <v>77</v>
      </c>
      <c r="C67" t="s">
        <v>45</v>
      </c>
      <c r="D67">
        <v>61</v>
      </c>
      <c r="E67" t="str">
        <f>HYPERLINK("#'Data'!A1169", "Households reporting their movement intentions for the next 12 months broken down by rural / urban on the admin of macroregion perc")</f>
        <v>Households reporting their movement intentions for the next 12 months broken down by rural / urban on the admin of macroregion perc</v>
      </c>
    </row>
    <row r="68" spans="1:5" x14ac:dyDescent="0.25">
      <c r="A68" t="s">
        <v>72</v>
      </c>
      <c r="B68" t="s">
        <v>77</v>
      </c>
      <c r="C68" t="s">
        <v>62</v>
      </c>
      <c r="D68">
        <v>62</v>
      </c>
      <c r="E68" t="str">
        <f>HYPERLINK("#'Data'!A1191", "Households reporting their movement intentions for the next 12 months broken down by proximity to the Frontline / Russian border on the admin of ma...")</f>
        <v>Households reporting their movement intentions for the next 12 months broken down by proximity to the Frontline / Russian border on the admin of ma...</v>
      </c>
    </row>
    <row r="69" spans="1:5" hidden="1" x14ac:dyDescent="0.25">
      <c r="A69" t="s">
        <v>72</v>
      </c>
      <c r="B69" t="s">
        <v>78</v>
      </c>
      <c r="C69" t="s">
        <v>35</v>
      </c>
      <c r="D69">
        <v>63</v>
      </c>
      <c r="E69" t="str">
        <f>HYPERLINK("#'Data'!A1217", "Households that reportedly have registered IDP members broken down by displacement status of HoH on the admin of macroregion perc")</f>
        <v>Households that reportedly have registered IDP members broken down by displacement status of HoH on the admin of macroregion perc</v>
      </c>
    </row>
    <row r="70" spans="1:5" hidden="1" x14ac:dyDescent="0.25">
      <c r="A70" t="s">
        <v>79</v>
      </c>
      <c r="B70" t="s">
        <v>80</v>
      </c>
      <c r="C70" t="s">
        <v>35</v>
      </c>
      <c r="D70">
        <v>64</v>
      </c>
      <c r="E70" t="str">
        <f>HYPERLINK("#'Data'!A1230", "Household members (5-18 y.o) reportedly attending school or early education program during 2023-2024 years broken down by displacement status of Ho...")</f>
        <v>Household members (5-18 y.o) reportedly attending school or early education program during 2023-2024 years broken down by displacement status of Ho...</v>
      </c>
    </row>
    <row r="71" spans="1:5" hidden="1" x14ac:dyDescent="0.25">
      <c r="A71" t="s">
        <v>79</v>
      </c>
      <c r="B71" t="s">
        <v>80</v>
      </c>
      <c r="C71" t="s">
        <v>45</v>
      </c>
      <c r="D71">
        <v>65</v>
      </c>
      <c r="E71" t="str">
        <f>HYPERLINK("#'Data'!A1243", "Household members (5-18 y.o) reportedly attending school or early education program during 2023-2024 years broken down by rural / urban on the admi...")</f>
        <v>Household members (5-18 y.o) reportedly attending school or early education program during 2023-2024 years broken down by rural / urban on the admi...</v>
      </c>
    </row>
    <row r="72" spans="1:5" x14ac:dyDescent="0.25">
      <c r="A72" t="s">
        <v>79</v>
      </c>
      <c r="B72" t="s">
        <v>80</v>
      </c>
      <c r="C72" t="s">
        <v>62</v>
      </c>
      <c r="D72">
        <v>66</v>
      </c>
      <c r="E72" t="str">
        <f>HYPERLINK("#'Data'!A1265", "Household members (5-18 y.o) reportedly attending school or early education program during 2023-2024 years broken down by proximity to the Frontlin...")</f>
        <v>Household members (5-18 y.o) reportedly attending school or early education program during 2023-2024 years broken down by proximity to the Frontlin...</v>
      </c>
    </row>
    <row r="73" spans="1:5" hidden="1" x14ac:dyDescent="0.25">
      <c r="A73" t="s">
        <v>79</v>
      </c>
      <c r="B73" t="s">
        <v>81</v>
      </c>
      <c r="C73" t="s">
        <v>35</v>
      </c>
      <c r="D73">
        <v>67</v>
      </c>
      <c r="E73" t="str">
        <f>HYPERLINK("#'Data'!A1291", "Household members (5-18 y.o) who attended school by learning modality broken down by displacement status of HoH on the admin of macroregion perc")</f>
        <v>Household members (5-18 y.o) who attended school by learning modality broken down by displacement status of HoH on the admin of macroregion perc</v>
      </c>
    </row>
    <row r="74" spans="1:5" hidden="1" x14ac:dyDescent="0.25">
      <c r="A74" t="s">
        <v>79</v>
      </c>
      <c r="B74" t="s">
        <v>81</v>
      </c>
      <c r="C74" t="s">
        <v>45</v>
      </c>
      <c r="D74">
        <v>68</v>
      </c>
      <c r="E74" t="str">
        <f>HYPERLINK("#'Data'!A1304", "Household members (5-18 y.o) who attended school by learning modality broken down by rural / urban on the admin of macroregion perc")</f>
        <v>Household members (5-18 y.o) who attended school by learning modality broken down by rural / urban on the admin of macroregion perc</v>
      </c>
    </row>
    <row r="75" spans="1:5" x14ac:dyDescent="0.25">
      <c r="A75" t="s">
        <v>79</v>
      </c>
      <c r="B75" t="s">
        <v>81</v>
      </c>
      <c r="C75" t="s">
        <v>62</v>
      </c>
      <c r="D75">
        <v>69</v>
      </c>
      <c r="E75" t="str">
        <f>HYPERLINK("#'Data'!A1326", "Household members (5-18 y.o) who attended school by learning modality broken down by proximity to the Frontline / Russian border on the admin of ma...")</f>
        <v>Household members (5-18 y.o) who attended school by learning modality broken down by proximity to the Frontline / Russian border on the admin of ma...</v>
      </c>
    </row>
    <row r="76" spans="1:5" hidden="1" x14ac:dyDescent="0.25">
      <c r="A76" t="s">
        <v>79</v>
      </c>
      <c r="B76" t="s">
        <v>82</v>
      </c>
      <c r="C76" t="s">
        <v>35</v>
      </c>
      <c r="D76">
        <v>70</v>
      </c>
      <c r="E76" t="str">
        <f>HYPERLINK("#'Data'!A1352", "Household members (5-18 y.o) who attended school by grade broken down by displacement status of HoH on the admin of macroregion perc")</f>
        <v>Household members (5-18 y.o) who attended school by grade broken down by displacement status of HoH on the admin of macroregion perc</v>
      </c>
    </row>
    <row r="77" spans="1:5" hidden="1" x14ac:dyDescent="0.25">
      <c r="A77" t="s">
        <v>79</v>
      </c>
      <c r="B77" t="s">
        <v>83</v>
      </c>
      <c r="C77" t="s">
        <v>35</v>
      </c>
      <c r="D77">
        <v>71</v>
      </c>
      <c r="E77" t="str">
        <f>HYPERLINK("#'Data'!A1365", "Household members (5-18 y.o) reporting reasons for not attending schools broken down by displacement status of HoH on the admin of macroregion perc")</f>
        <v>Household members (5-18 y.o) reporting reasons for not attending schools broken down by displacement status of HoH on the admin of macroregion perc</v>
      </c>
    </row>
    <row r="78" spans="1:5" hidden="1" x14ac:dyDescent="0.25">
      <c r="A78" t="s">
        <v>79</v>
      </c>
      <c r="B78" t="s">
        <v>84</v>
      </c>
      <c r="C78" t="s">
        <v>35</v>
      </c>
      <c r="D78">
        <v>72</v>
      </c>
      <c r="E78" t="str">
        <f>HYPERLINK("#'Data'!A1378", "Households with school-aged children (5-18 y.o) that reported education disruption because of displacement/evacuation broken down by displacement s...")</f>
        <v>Households with school-aged children (5-18 y.o) that reported education disruption because of displacement/evacuation broken down by displacement s...</v>
      </c>
    </row>
    <row r="79" spans="1:5" hidden="1" x14ac:dyDescent="0.25">
      <c r="A79" t="s">
        <v>79</v>
      </c>
      <c r="B79" t="s">
        <v>84</v>
      </c>
      <c r="C79" t="s">
        <v>45</v>
      </c>
      <c r="D79">
        <v>73</v>
      </c>
      <c r="E79" t="str">
        <f>HYPERLINK("#'Data'!A1391", "Households with school-aged children (5-18 y.o) that reported education disruption because of displacement/evacuation broken down by rural / urban ...")</f>
        <v>Households with school-aged children (5-18 y.o) that reported education disruption because of displacement/evacuation broken down by rural / urban ...</v>
      </c>
    </row>
    <row r="80" spans="1:5" x14ac:dyDescent="0.25">
      <c r="A80" t="s">
        <v>79</v>
      </c>
      <c r="B80" t="s">
        <v>84</v>
      </c>
      <c r="C80" t="s">
        <v>62</v>
      </c>
      <c r="D80">
        <v>74</v>
      </c>
      <c r="E80" t="str">
        <f>HYPERLINK("#'Data'!A1413", "Households with school-aged children (5-18 y.o) that reported education disruption because of displacement/evacuation broken down by proximity to t...")</f>
        <v>Households with school-aged children (5-18 y.o) that reported education disruption because of displacement/evacuation broken down by proximity to t...</v>
      </c>
    </row>
    <row r="81" spans="1:5" hidden="1" x14ac:dyDescent="0.25">
      <c r="A81" t="s">
        <v>79</v>
      </c>
      <c r="B81" t="s">
        <v>85</v>
      </c>
      <c r="C81" t="s">
        <v>35</v>
      </c>
      <c r="D81">
        <v>75</v>
      </c>
      <c r="E81" t="str">
        <f>HYPERLINK("#'Data'!A1439", "Households with school-aged children (5-18 y.o) that reported education disruption because of school damage broken down by displacement status of H...")</f>
        <v>Households with school-aged children (5-18 y.o) that reported education disruption because of school damage broken down by displacement status of H...</v>
      </c>
    </row>
    <row r="82" spans="1:5" hidden="1" x14ac:dyDescent="0.25">
      <c r="A82" t="s">
        <v>79</v>
      </c>
      <c r="B82" t="s">
        <v>85</v>
      </c>
      <c r="C82" t="s">
        <v>45</v>
      </c>
      <c r="D82">
        <v>76</v>
      </c>
      <c r="E82" t="str">
        <f>HYPERLINK("#'Data'!A1452", "Households with school-aged children (5-18 y.o) that reported education disruption because of school damage broken down by rural / urban on the adm...")</f>
        <v>Households with school-aged children (5-18 y.o) that reported education disruption because of school damage broken down by rural / urban on the adm...</v>
      </c>
    </row>
    <row r="83" spans="1:5" x14ac:dyDescent="0.25">
      <c r="A83" t="s">
        <v>79</v>
      </c>
      <c r="B83" t="s">
        <v>85</v>
      </c>
      <c r="C83" t="s">
        <v>62</v>
      </c>
      <c r="D83">
        <v>77</v>
      </c>
      <c r="E83" t="str">
        <f>HYPERLINK("#'Data'!A1474", "Households with school-aged children (5-18 y.o) that reported education disruption because of school damage broken down by proximity to the Frontli...")</f>
        <v>Households with school-aged children (5-18 y.o) that reported education disruption because of school damage broken down by proximity to the Frontli...</v>
      </c>
    </row>
    <row r="84" spans="1:5" hidden="1" x14ac:dyDescent="0.25">
      <c r="A84" t="s">
        <v>79</v>
      </c>
      <c r="B84" t="s">
        <v>86</v>
      </c>
      <c r="C84" t="s">
        <v>35</v>
      </c>
      <c r="D84">
        <v>78</v>
      </c>
      <c r="E84" t="str">
        <f>HYPERLINK("#'Data'!A1498", "Households with school-aged children (5-18 y.o) that reported education disruption because of home damage broken down by displacement status of HoH...")</f>
        <v>Households with school-aged children (5-18 y.o) that reported education disruption because of home damage broken down by displacement status of HoH...</v>
      </c>
    </row>
    <row r="85" spans="1:5" hidden="1" x14ac:dyDescent="0.25">
      <c r="A85" t="s">
        <v>79</v>
      </c>
      <c r="B85" t="s">
        <v>86</v>
      </c>
      <c r="C85" t="s">
        <v>45</v>
      </c>
      <c r="D85">
        <v>79</v>
      </c>
      <c r="E85" t="str">
        <f>HYPERLINK("#'Data'!A1511", "Households with school-aged children (5-18 y.o) that reported education disruption because of home damage broken down by rural / urban on the admin...")</f>
        <v>Households with school-aged children (5-18 y.o) that reported education disruption because of home damage broken down by rural / urban on the admin...</v>
      </c>
    </row>
    <row r="86" spans="1:5" x14ac:dyDescent="0.25">
      <c r="A86" t="s">
        <v>79</v>
      </c>
      <c r="B86" t="s">
        <v>86</v>
      </c>
      <c r="C86" t="s">
        <v>62</v>
      </c>
      <c r="D86">
        <v>80</v>
      </c>
      <c r="E86" t="str">
        <f>HYPERLINK("#'Data'!A1533", "Households with school-aged children (5-18 y.o) that reported education disruption because of home damage broken down by proximity to the Frontline...")</f>
        <v>Households with school-aged children (5-18 y.o) that reported education disruption because of home damage broken down by proximity to the Frontline...</v>
      </c>
    </row>
    <row r="87" spans="1:5" hidden="1" x14ac:dyDescent="0.25">
      <c r="A87" t="s">
        <v>79</v>
      </c>
      <c r="B87" t="s">
        <v>87</v>
      </c>
      <c r="C87" t="s">
        <v>35</v>
      </c>
      <c r="D87">
        <v>81</v>
      </c>
      <c r="E87" t="str">
        <f>HYPERLINK("#'Data'!A1559", "Households with school-aged children (5-18 y.o) that reported education disruption because of missile attack broken down by displacement status of ...")</f>
        <v>Households with school-aged children (5-18 y.o) that reported education disruption because of missile attack broken down by displacement status of ...</v>
      </c>
    </row>
    <row r="88" spans="1:5" hidden="1" x14ac:dyDescent="0.25">
      <c r="A88" t="s">
        <v>79</v>
      </c>
      <c r="B88" t="s">
        <v>87</v>
      </c>
      <c r="C88" t="s">
        <v>45</v>
      </c>
      <c r="D88">
        <v>82</v>
      </c>
      <c r="E88" t="str">
        <f>HYPERLINK("#'Data'!A1572", "Households with school-aged children (5-18 y.o) that reported education disruption because of missile attack broken down by rural / urban on the ad...")</f>
        <v>Households with school-aged children (5-18 y.o) that reported education disruption because of missile attack broken down by rural / urban on the ad...</v>
      </c>
    </row>
    <row r="89" spans="1:5" x14ac:dyDescent="0.25">
      <c r="A89" t="s">
        <v>79</v>
      </c>
      <c r="B89" t="s">
        <v>87</v>
      </c>
      <c r="C89" t="s">
        <v>62</v>
      </c>
      <c r="D89">
        <v>83</v>
      </c>
      <c r="E89" t="str">
        <f>HYPERLINK("#'Data'!A1594", "Households with school-aged children (5-18 y.o) that reported education disruption because of missile attack broken down by proximity to the Frontl...")</f>
        <v>Households with school-aged children (5-18 y.o) that reported education disruption because of missile attack broken down by proximity to the Frontl...</v>
      </c>
    </row>
    <row r="90" spans="1:5" hidden="1" x14ac:dyDescent="0.25">
      <c r="A90" t="s">
        <v>79</v>
      </c>
      <c r="B90" t="s">
        <v>88</v>
      </c>
      <c r="C90" t="s">
        <v>35</v>
      </c>
      <c r="D90">
        <v>84</v>
      </c>
      <c r="E90" t="str">
        <f>HYPERLINK("#'Data'!A1620", "Households reporting time they spent supporting school-aged children with education broken down by displacement status of HoH on the admin of macro...")</f>
        <v>Households reporting time they spent supporting school-aged children with education broken down by displacement status of HoH on the admin of macro...</v>
      </c>
    </row>
    <row r="91" spans="1:5" hidden="1" x14ac:dyDescent="0.25">
      <c r="A91" t="s">
        <v>89</v>
      </c>
      <c r="B91" t="s">
        <v>90</v>
      </c>
      <c r="C91" t="s">
        <v>35</v>
      </c>
      <c r="D91">
        <v>85</v>
      </c>
      <c r="E91" t="str">
        <f>HYPERLINK("#'Data'!A1633", "Households reporting types of expenditures they had in the last 30 days before DC broken down by displacement status of HoH on the admin of macrore...")</f>
        <v>Households reporting types of expenditures they had in the last 30 days before DC broken down by displacement status of HoH on the admin of macrore...</v>
      </c>
    </row>
    <row r="92" spans="1:5" hidden="1" x14ac:dyDescent="0.25">
      <c r="A92" t="s">
        <v>89</v>
      </c>
      <c r="B92" t="s">
        <v>90</v>
      </c>
      <c r="C92" t="s">
        <v>45</v>
      </c>
      <c r="D92">
        <v>86</v>
      </c>
      <c r="E92" t="str">
        <f>HYPERLINK("#'Data'!A1646", "Households reporting types of expenditures they had in the last 30 days before DC broken down by rural / urban on the admin of macroregion perc")</f>
        <v>Households reporting types of expenditures they had in the last 30 days before DC broken down by rural / urban on the admin of macroregion perc</v>
      </c>
    </row>
    <row r="93" spans="1:5" x14ac:dyDescent="0.25">
      <c r="A93" t="s">
        <v>89</v>
      </c>
      <c r="B93" t="s">
        <v>90</v>
      </c>
      <c r="C93" t="s">
        <v>62</v>
      </c>
      <c r="D93">
        <v>87</v>
      </c>
      <c r="E93" t="str">
        <f>HYPERLINK("#'Data'!A1668", "Households reporting types of expenditures they had in the last 30 days before DC broken down by proximity to the Frontline / Russian border on the...")</f>
        <v>Households reporting types of expenditures they had in the last 30 days before DC broken down by proximity to the Frontline / Russian border on the...</v>
      </c>
    </row>
    <row r="94" spans="1:5" hidden="1" x14ac:dyDescent="0.25">
      <c r="A94" t="s">
        <v>89</v>
      </c>
      <c r="B94" t="s">
        <v>91</v>
      </c>
      <c r="C94" t="s">
        <v>35</v>
      </c>
      <c r="D94">
        <v>88</v>
      </c>
      <c r="E94" t="str">
        <f>HYPERLINK("#'Data'!A1694", "Household Domestic Expenditure over the last 30 days, by type and amount broken down by displacement status of HoH on the admin of macrore...")</f>
        <v>Household Domestic Expenditure over the last 30 days, by type and amount broken down by displacement status of HoH on the admin of macrore...</v>
      </c>
    </row>
    <row r="95" spans="1:5" hidden="1" x14ac:dyDescent="0.25">
      <c r="A95" t="s">
        <v>89</v>
      </c>
      <c r="B95" t="s">
        <v>91</v>
      </c>
      <c r="C95" t="s">
        <v>45</v>
      </c>
      <c r="D95">
        <v>99</v>
      </c>
      <c r="E95" t="str">
        <f>HYPERLINK("#'Data'!A1707", "Household Domestic Expenditure over the last 30 days, by type and amount broken down by rural / urban on the admin of macroregion ")</f>
        <v xml:space="preserve">Household Domestic Expenditure over the last 30 days, by type and amount broken down by rural / urban on the admin of macroregion </v>
      </c>
    </row>
    <row r="96" spans="1:5" x14ac:dyDescent="0.25">
      <c r="A96" t="s">
        <v>89</v>
      </c>
      <c r="B96" t="s">
        <v>91</v>
      </c>
      <c r="C96" t="s">
        <v>62</v>
      </c>
      <c r="D96">
        <v>110</v>
      </c>
      <c r="E96" t="str">
        <f>HYPERLINK("#'Data'!A1729", "Household Domestic Expenditure over the last 30 days, by type and amount broken down by proximity to the Frontline / Russian border on the...")</f>
        <v>Household Domestic Expenditure over the last 30 days, by type and amount broken down by proximity to the Frontline / Russian border on the...</v>
      </c>
    </row>
    <row r="97" spans="1:5" hidden="1" x14ac:dyDescent="0.25">
      <c r="A97" t="s">
        <v>89</v>
      </c>
      <c r="B97" t="s">
        <v>92</v>
      </c>
      <c r="C97" t="s">
        <v>35</v>
      </c>
      <c r="D97">
        <v>121</v>
      </c>
      <c r="E97" t="str">
        <f>HYPERLINK("#'Data'!A1755", "Estimated Household's Domestic Expenditure on Heating during the last winter broken down by displacement status of HoH on the admin of macroregion ...")</f>
        <v>Estimated Household's Domestic Expenditure on Heating during the last winter broken down by displacement status of HoH on the admin of macroregion ...</v>
      </c>
    </row>
    <row r="98" spans="1:5" hidden="1" x14ac:dyDescent="0.25">
      <c r="A98" t="s">
        <v>89</v>
      </c>
      <c r="B98" t="s">
        <v>92</v>
      </c>
      <c r="C98" t="s">
        <v>45</v>
      </c>
      <c r="D98">
        <v>122</v>
      </c>
      <c r="E98" t="str">
        <f>HYPERLINK("#'Data'!A1768", "Estimated Household's Domestic Expenditure on Heating during the last winter broken down by rural / urban on the admin of macroregion mean")</f>
        <v>Estimated Household's Domestic Expenditure on Heating during the last winter broken down by rural / urban on the admin of macroregion mean</v>
      </c>
    </row>
    <row r="99" spans="1:5" x14ac:dyDescent="0.25">
      <c r="A99" t="s">
        <v>89</v>
      </c>
      <c r="B99" t="s">
        <v>92</v>
      </c>
      <c r="C99" t="s">
        <v>62</v>
      </c>
      <c r="D99">
        <v>123</v>
      </c>
      <c r="E99" t="str">
        <f>HYPERLINK("#'Data'!A1790", "Estimated Household's Domestic Expenditure on Heating during the last winter broken down by proximity to the Frontline / Russian border on the admi...")</f>
        <v>Estimated Household's Domestic Expenditure on Heating during the last winter broken down by proximity to the Frontline / Russian border on the admi...</v>
      </c>
    </row>
    <row r="100" spans="1:5" hidden="1" x14ac:dyDescent="0.25">
      <c r="A100" t="s">
        <v>89</v>
      </c>
      <c r="B100" t="s">
        <v>93</v>
      </c>
      <c r="C100" t="s">
        <v>35</v>
      </c>
      <c r="D100">
        <v>124</v>
      </c>
      <c r="E100" t="str">
        <f>HYPERLINK("#'Data'!A1816", "Households reporting types of expenditures they had in the last 6 months before DC broken down by displacement status of HoH on the admin of macror...")</f>
        <v>Households reporting types of expenditures they had in the last 6 months before DC broken down by displacement status of HoH on the admin of macror...</v>
      </c>
    </row>
    <row r="101" spans="1:5" hidden="1" x14ac:dyDescent="0.25">
      <c r="A101" t="s">
        <v>89</v>
      </c>
      <c r="B101" t="s">
        <v>93</v>
      </c>
      <c r="C101" t="s">
        <v>45</v>
      </c>
      <c r="D101">
        <v>125</v>
      </c>
      <c r="E101" t="str">
        <f>HYPERLINK("#'Data'!A1829", "Households reporting types of expenditures they had in the last 6 months before DC broken down by rural / urban on the admin of macroregion perc")</f>
        <v>Households reporting types of expenditures they had in the last 6 months before DC broken down by rural / urban on the admin of macroregion perc</v>
      </c>
    </row>
    <row r="102" spans="1:5" x14ac:dyDescent="0.25">
      <c r="A102" t="s">
        <v>89</v>
      </c>
      <c r="B102" t="s">
        <v>93</v>
      </c>
      <c r="C102" t="s">
        <v>62</v>
      </c>
      <c r="D102">
        <v>126</v>
      </c>
      <c r="E102" t="str">
        <f>HYPERLINK("#'Data'!A1851", "Households reporting types of expenditures they had in the last 6 months before DC broken down by proximity to the Frontline / Russian border on th...")</f>
        <v>Households reporting types of expenditures they had in the last 6 months before DC broken down by proximity to the Frontline / Russian border on th...</v>
      </c>
    </row>
    <row r="103" spans="1:5" hidden="1" x14ac:dyDescent="0.25">
      <c r="A103" t="s">
        <v>89</v>
      </c>
      <c r="B103" t="s">
        <v>94</v>
      </c>
      <c r="C103" t="s">
        <v>35</v>
      </c>
      <c r="D103">
        <v>127</v>
      </c>
      <c r="E103" t="str">
        <f>HYPERLINK("#'Data'!A1877", "Household Domestic Expenditure over the last 6 months by type and amount  broken down by displacement status of HoH on ...")</f>
        <v>Household Domestic Expenditure over the last 6 months by type and amount  broken down by displacement status of HoH on ...</v>
      </c>
    </row>
    <row r="104" spans="1:5" hidden="1" x14ac:dyDescent="0.25">
      <c r="A104" t="s">
        <v>89</v>
      </c>
      <c r="B104" t="s">
        <v>94</v>
      </c>
      <c r="C104" t="s">
        <v>45</v>
      </c>
      <c r="D104">
        <v>133</v>
      </c>
      <c r="E104" t="str">
        <f>HYPERLINK("#'Data'!A1890", "Household Domestic Expenditure over the last 6 months by type and amount  broken down by rural / urban on the admin of ...")</f>
        <v>Household Domestic Expenditure over the last 6 months by type and amount  broken down by rural / urban on the admin of ...</v>
      </c>
    </row>
    <row r="105" spans="1:5" x14ac:dyDescent="0.25">
      <c r="A105" t="s">
        <v>89</v>
      </c>
      <c r="B105" t="s">
        <v>94</v>
      </c>
      <c r="C105" t="s">
        <v>62</v>
      </c>
      <c r="D105">
        <v>139</v>
      </c>
      <c r="E105" t="str">
        <f>HYPERLINK("#'Data'!A1912", "Household Domestic Expenditure over the last 6 months by type and amount  broken down by proximity to the Frontline / R...")</f>
        <v>Household Domestic Expenditure over the last 6 months by type and amount  broken down by proximity to the Frontline / R...</v>
      </c>
    </row>
    <row r="106" spans="1:5" hidden="1" x14ac:dyDescent="0.25">
      <c r="A106" t="s">
        <v>89</v>
      </c>
      <c r="B106" t="s">
        <v>95</v>
      </c>
      <c r="C106" t="s">
        <v>35</v>
      </c>
      <c r="D106">
        <v>145</v>
      </c>
      <c r="E106" t="str">
        <f>HYPERLINK("#'Data'!A1938", "Total monthly expenditure PER CAPITA among those who reported any expenditure broken down by displacement status of HoH on the admin of macroregion...")</f>
        <v>Total monthly expenditure PER CAPITA among those who reported any expenditure broken down by displacement status of HoH on the admin of macroregion...</v>
      </c>
    </row>
    <row r="107" spans="1:5" hidden="1" x14ac:dyDescent="0.25">
      <c r="A107" t="s">
        <v>89</v>
      </c>
      <c r="B107" t="s">
        <v>95</v>
      </c>
      <c r="C107" t="s">
        <v>45</v>
      </c>
      <c r="D107">
        <v>146</v>
      </c>
      <c r="E107" t="str">
        <f>HYPERLINK("#'Data'!A1951", "Total monthly expenditure PER CAPITA among those who reported any expenditure broken down by rural / urban on the admin of macroregion mean")</f>
        <v>Total monthly expenditure PER CAPITA among those who reported any expenditure broken down by rural / urban on the admin of macroregion mean</v>
      </c>
    </row>
    <row r="108" spans="1:5" x14ac:dyDescent="0.25">
      <c r="A108" t="s">
        <v>89</v>
      </c>
      <c r="B108" t="s">
        <v>95</v>
      </c>
      <c r="C108" t="s">
        <v>62</v>
      </c>
      <c r="D108">
        <v>147</v>
      </c>
      <c r="E108" t="str">
        <f>HYPERLINK("#'Data'!A1973", "Total monthly expenditure PER CAPITA among those who reported any expenditure broken down by proximity to the Frontline / Russian border on the adm...")</f>
        <v>Total monthly expenditure PER CAPITA among those who reported any expenditure broken down by proximity to the Frontline / Russian border on the adm...</v>
      </c>
    </row>
    <row r="109" spans="1:5" hidden="1" x14ac:dyDescent="0.25">
      <c r="A109" t="s">
        <v>89</v>
      </c>
      <c r="B109" t="s">
        <v>96</v>
      </c>
      <c r="C109" t="s">
        <v>35</v>
      </c>
      <c r="D109">
        <v>148</v>
      </c>
      <c r="E109" t="str">
        <f>HYPERLINK("#'Data'!A1999", "Total monthly expenditure among those who reported any expenditure broken down by displacement status of HoH on the admin of macroregion mean")</f>
        <v>Total monthly expenditure among those who reported any expenditure broken down by displacement status of HoH on the admin of macroregion mean</v>
      </c>
    </row>
    <row r="110" spans="1:5" hidden="1" x14ac:dyDescent="0.25">
      <c r="A110" t="s">
        <v>89</v>
      </c>
      <c r="B110" t="s">
        <v>96</v>
      </c>
      <c r="C110" t="s">
        <v>45</v>
      </c>
      <c r="D110">
        <v>149</v>
      </c>
      <c r="E110" t="str">
        <f>HYPERLINK("#'Data'!A2012", "Total monthly expenditure among those who reported any expenditure broken down by rural / urban on the admin of macroregion mean")</f>
        <v>Total monthly expenditure among those who reported any expenditure broken down by rural / urban on the admin of macroregion mean</v>
      </c>
    </row>
    <row r="111" spans="1:5" x14ac:dyDescent="0.25">
      <c r="A111" t="s">
        <v>89</v>
      </c>
      <c r="B111" t="s">
        <v>96</v>
      </c>
      <c r="C111" t="s">
        <v>62</v>
      </c>
      <c r="D111">
        <v>150</v>
      </c>
      <c r="E111" t="str">
        <f>HYPERLINK("#'Data'!A2034", "Total monthly expenditure among those who reported any expenditure broken down by proximity to the Frontline / Russian border on the admin of macro...")</f>
        <v>Total monthly expenditure among those who reported any expenditure broken down by proximity to the Frontline / Russian border on the admin of macro...</v>
      </c>
    </row>
    <row r="112" spans="1:5" hidden="1" x14ac:dyDescent="0.25">
      <c r="A112" t="s">
        <v>89</v>
      </c>
      <c r="B112" t="s">
        <v>97</v>
      </c>
      <c r="C112" t="s">
        <v>35</v>
      </c>
      <c r="D112">
        <v>151</v>
      </c>
      <c r="E112" t="str">
        <f>HYPERLINK("#'Data'!A2060", "Households reporting missing non-food items broken down by displacement status of HoH on the admin of macroregion perc")</f>
        <v>Households reporting missing non-food items broken down by displacement status of HoH on the admin of macroregion perc</v>
      </c>
    </row>
    <row r="113" spans="1:5" hidden="1" x14ac:dyDescent="0.25">
      <c r="A113" t="s">
        <v>89</v>
      </c>
      <c r="B113" t="s">
        <v>97</v>
      </c>
      <c r="C113" t="s">
        <v>45</v>
      </c>
      <c r="D113">
        <v>152</v>
      </c>
      <c r="E113" t="str">
        <f>HYPERLINK("#'Data'!A2073", "Households reporting missing non-food items broken down by rural / urban on the admin of macroregion perc")</f>
        <v>Households reporting missing non-food items broken down by rural / urban on the admin of macroregion perc</v>
      </c>
    </row>
    <row r="114" spans="1:5" x14ac:dyDescent="0.25">
      <c r="A114" t="s">
        <v>89</v>
      </c>
      <c r="B114" t="s">
        <v>97</v>
      </c>
      <c r="C114" t="s">
        <v>62</v>
      </c>
      <c r="D114">
        <v>153</v>
      </c>
      <c r="E114" t="str">
        <f>HYPERLINK("#'Data'!A2095", "Households reporting missing non-food items broken down by proximity to the Frontline / Russian border on the admin of macroregion perc")</f>
        <v>Households reporting missing non-food items broken down by proximity to the Frontline / Russian border on the admin of macroregion perc</v>
      </c>
    </row>
    <row r="115" spans="1:5" hidden="1" x14ac:dyDescent="0.25">
      <c r="A115" t="s">
        <v>89</v>
      </c>
      <c r="B115" t="s">
        <v>98</v>
      </c>
      <c r="C115" t="s">
        <v>35</v>
      </c>
      <c r="D115">
        <v>154</v>
      </c>
      <c r="E115" t="str">
        <f>HYPERLINK("#'Data'!A2121", "Primary Income Sources Reported by Households Over the Last 30 Days Prior to DC broken down by displacement status of HoH on the admin of macroregi...")</f>
        <v>Primary Income Sources Reported by Households Over the Last 30 Days Prior to DC broken down by displacement status of HoH on the admin of macroregi...</v>
      </c>
    </row>
    <row r="116" spans="1:5" hidden="1" x14ac:dyDescent="0.25">
      <c r="A116" t="s">
        <v>89</v>
      </c>
      <c r="B116" t="s">
        <v>98</v>
      </c>
      <c r="C116" t="s">
        <v>45</v>
      </c>
      <c r="D116">
        <v>155</v>
      </c>
      <c r="E116" t="str">
        <f>HYPERLINK("#'Data'!A2134", "Primary Income Sources Reported by Households Over the Last 30 Days Prior to DC broken down by rural / urban on the admin of macroregion perc")</f>
        <v>Primary Income Sources Reported by Households Over the Last 30 Days Prior to DC broken down by rural / urban on the admin of macroregion perc</v>
      </c>
    </row>
    <row r="117" spans="1:5" x14ac:dyDescent="0.25">
      <c r="A117" t="s">
        <v>89</v>
      </c>
      <c r="B117" t="s">
        <v>98</v>
      </c>
      <c r="C117" t="s">
        <v>62</v>
      </c>
      <c r="D117">
        <v>156</v>
      </c>
      <c r="E117" t="str">
        <f>HYPERLINK("#'Data'!A2156", "Primary Income Sources Reported by Households Over the Last 30 Days Prior to DC broken down by proximity to the Frontline / Russian border on the a...")</f>
        <v>Primary Income Sources Reported by Households Over the Last 30 Days Prior to DC broken down by proximity to the Frontline / Russian border on the a...</v>
      </c>
    </row>
    <row r="118" spans="1:5" hidden="1" x14ac:dyDescent="0.25">
      <c r="A118" t="s">
        <v>89</v>
      </c>
      <c r="B118" t="s">
        <v>99</v>
      </c>
      <c r="C118" t="s">
        <v>35</v>
      </c>
      <c r="D118">
        <v>157</v>
      </c>
      <c r="E118" t="str">
        <f>HYPERLINK("#'Data'!A2182", "Household income over the 30 days prior to data collection, by types of income source broken down by displacement status of HoH on the ...")</f>
        <v>Household income over the 30 days prior to data collection, by types of income source broken down by displacement status of HoH on the ...</v>
      </c>
    </row>
    <row r="119" spans="1:5" hidden="1" x14ac:dyDescent="0.25">
      <c r="A119" t="s">
        <v>89</v>
      </c>
      <c r="B119" t="s">
        <v>99</v>
      </c>
      <c r="C119" t="s">
        <v>45</v>
      </c>
      <c r="D119">
        <v>170</v>
      </c>
      <c r="E119" t="str">
        <f>HYPERLINK("#'Data'!A2195", "Household income over the 30 days prior to data collection, by types of income source broken down by rural / urban on the admin of macr...")</f>
        <v>Household income over the 30 days prior to data collection, by types of income source broken down by rural / urban on the admin of macr...</v>
      </c>
    </row>
    <row r="120" spans="1:5" x14ac:dyDescent="0.25">
      <c r="A120" t="s">
        <v>89</v>
      </c>
      <c r="B120" t="s">
        <v>99</v>
      </c>
      <c r="C120" t="s">
        <v>62</v>
      </c>
      <c r="D120">
        <v>183</v>
      </c>
      <c r="E120" t="str">
        <f>HYPERLINK("#'Data'!A2217", "Household income over the 30 days prior to data collection, by types of income source broken down by proximity to the Frontline / Russi...")</f>
        <v>Household income over the 30 days prior to data collection, by types of income source broken down by proximity to the Frontline / Russi...</v>
      </c>
    </row>
    <row r="121" spans="1:5" hidden="1" x14ac:dyDescent="0.25">
      <c r="A121" t="s">
        <v>89</v>
      </c>
      <c r="B121" t="s">
        <v>100</v>
      </c>
      <c r="C121" t="s">
        <v>35</v>
      </c>
      <c r="D121">
        <v>196</v>
      </c>
      <c r="E121" t="str">
        <f>HYPERLINK("#'Data'!A2243", "Total income per capita among those who reported any income broken down by displacement status of HoH on the admin of macroregion mean")</f>
        <v>Total income per capita among those who reported any income broken down by displacement status of HoH on the admin of macroregion mean</v>
      </c>
    </row>
    <row r="122" spans="1:5" hidden="1" x14ac:dyDescent="0.25">
      <c r="A122" t="s">
        <v>89</v>
      </c>
      <c r="B122" t="s">
        <v>100</v>
      </c>
      <c r="C122" t="s">
        <v>45</v>
      </c>
      <c r="D122">
        <v>197</v>
      </c>
      <c r="E122" t="str">
        <f>HYPERLINK("#'Data'!A2256", "Total income per capita among those who reported any income broken down by rural / urban on the admin of macroregion mean")</f>
        <v>Total income per capita among those who reported any income broken down by rural / urban on the admin of macroregion mean</v>
      </c>
    </row>
    <row r="123" spans="1:5" x14ac:dyDescent="0.25">
      <c r="A123" t="s">
        <v>89</v>
      </c>
      <c r="B123" t="s">
        <v>100</v>
      </c>
      <c r="C123" t="s">
        <v>62</v>
      </c>
      <c r="D123">
        <v>198</v>
      </c>
      <c r="E123" t="str">
        <f>HYPERLINK("#'Data'!A2278", "Total income per capita among those who reported any income broken down by proximity to the Frontline / Russian border on the admin of macroregion ...")</f>
        <v>Total income per capita among those who reported any income broken down by proximity to the Frontline / Russian border on the admin of macroregion ...</v>
      </c>
    </row>
    <row r="124" spans="1:5" hidden="1" x14ac:dyDescent="0.25">
      <c r="A124" t="s">
        <v>89</v>
      </c>
      <c r="B124" t="s">
        <v>101</v>
      </c>
      <c r="C124" t="s">
        <v>35</v>
      </c>
      <c r="D124">
        <v>199</v>
      </c>
      <c r="E124" t="str">
        <f>HYPERLINK("#'Data'!A2304", "Household income over the 30 days prior to data collection, by types of income source Per Capita broken down by displacement status of ...")</f>
        <v>Household income over the 30 days prior to data collection, by types of income source Per Capita broken down by displacement status of ...</v>
      </c>
    </row>
    <row r="125" spans="1:5" hidden="1" x14ac:dyDescent="0.25">
      <c r="A125" t="s">
        <v>89</v>
      </c>
      <c r="B125" t="s">
        <v>101</v>
      </c>
      <c r="C125" t="s">
        <v>45</v>
      </c>
      <c r="D125">
        <v>212</v>
      </c>
      <c r="E125" t="str">
        <f>HYPERLINK("#'Data'!A2317", "Household income over the 30 days prior to data collection, by types of income source Per Capita broken down by rural / urban on the ad...")</f>
        <v>Household income over the 30 days prior to data collection, by types of income source Per Capita broken down by rural / urban on the ad...</v>
      </c>
    </row>
    <row r="126" spans="1:5" x14ac:dyDescent="0.25">
      <c r="A126" t="s">
        <v>89</v>
      </c>
      <c r="B126" t="s">
        <v>101</v>
      </c>
      <c r="C126" t="s">
        <v>62</v>
      </c>
      <c r="D126">
        <v>225</v>
      </c>
      <c r="E126" t="str">
        <f>HYPERLINK("#'Data'!A2339", "Household income over the 30 days prior to data collection, by types of income source Per Capita broken down by proximity to the Frontl...")</f>
        <v>Household income over the 30 days prior to data collection, by types of income source Per Capita broken down by proximity to the Frontl...</v>
      </c>
    </row>
    <row r="127" spans="1:5" hidden="1" x14ac:dyDescent="0.25">
      <c r="A127" t="s">
        <v>89</v>
      </c>
      <c r="B127" t="s">
        <v>102</v>
      </c>
      <c r="C127" t="s">
        <v>35</v>
      </c>
      <c r="D127">
        <v>238</v>
      </c>
      <c r="E127" t="str">
        <f>HYPERLINK("#'Data'!A2365", "Total income per household among those who reported any income broken down by displacement status of HoH on the admin of macroregion mean")</f>
        <v>Total income per household among those who reported any income broken down by displacement status of HoH on the admin of macroregion mean</v>
      </c>
    </row>
    <row r="128" spans="1:5" hidden="1" x14ac:dyDescent="0.25">
      <c r="A128" t="s">
        <v>89</v>
      </c>
      <c r="B128" t="s">
        <v>102</v>
      </c>
      <c r="C128" t="s">
        <v>45</v>
      </c>
      <c r="D128">
        <v>239</v>
      </c>
      <c r="E128" t="str">
        <f>HYPERLINK("#'Data'!A2378", "Total income per household among those who reported any income broken down by rural / urban on the admin of macroregion mean")</f>
        <v>Total income per household among those who reported any income broken down by rural / urban on the admin of macroregion mean</v>
      </c>
    </row>
    <row r="129" spans="1:5" x14ac:dyDescent="0.25">
      <c r="A129" t="s">
        <v>89</v>
      </c>
      <c r="B129" t="s">
        <v>102</v>
      </c>
      <c r="C129" t="s">
        <v>62</v>
      </c>
      <c r="D129">
        <v>240</v>
      </c>
      <c r="E129" t="str">
        <f>HYPERLINK("#'Data'!A2400", "Total income per household among those who reported any income broken down by proximity to the Frontline / Russian border on the admin of macroregi...")</f>
        <v>Total income per household among those who reported any income broken down by proximity to the Frontline / Russian border on the admin of macroregi...</v>
      </c>
    </row>
    <row r="130" spans="1:5" hidden="1" x14ac:dyDescent="0.25">
      <c r="A130" t="s">
        <v>89</v>
      </c>
      <c r="B130" t="s">
        <v>103</v>
      </c>
      <c r="C130" t="s">
        <v>35</v>
      </c>
      <c r="D130">
        <v>241</v>
      </c>
      <c r="E130" t="str">
        <f>HYPERLINK("#'Data'!A2426", "Households that have borrowed money that they still have to pay back broken down by displacement status of HoH on the admin of macroregion perc")</f>
        <v>Households that have borrowed money that they still have to pay back broken down by displacement status of HoH on the admin of macroregion perc</v>
      </c>
    </row>
    <row r="131" spans="1:5" hidden="1" x14ac:dyDescent="0.25">
      <c r="A131" t="s">
        <v>89</v>
      </c>
      <c r="B131" t="s">
        <v>103</v>
      </c>
      <c r="C131" t="s">
        <v>45</v>
      </c>
      <c r="D131">
        <v>242</v>
      </c>
      <c r="E131" t="str">
        <f>HYPERLINK("#'Data'!A2439", "Households that have borrowed money that they still have to pay back broken down by rural / urban on the admin of macroregion perc")</f>
        <v>Households that have borrowed money that they still have to pay back broken down by rural / urban on the admin of macroregion perc</v>
      </c>
    </row>
    <row r="132" spans="1:5" hidden="1" x14ac:dyDescent="0.25">
      <c r="A132" t="s">
        <v>89</v>
      </c>
      <c r="B132" t="s">
        <v>104</v>
      </c>
      <c r="C132" t="s">
        <v>35</v>
      </c>
      <c r="D132">
        <v>243</v>
      </c>
      <c r="E132" t="str">
        <f>HYPERLINK("#'Data'!A2461", "Households reporting reasons why they took on debt since February 2022 broken down by displacement status of HoH on the admin of macroregion perc")</f>
        <v>Households reporting reasons why they took on debt since February 2022 broken down by displacement status of HoH on the admin of macroregion perc</v>
      </c>
    </row>
    <row r="133" spans="1:5" hidden="1" x14ac:dyDescent="0.25">
      <c r="A133" t="s">
        <v>89</v>
      </c>
      <c r="B133" t="s">
        <v>104</v>
      </c>
      <c r="C133" t="s">
        <v>45</v>
      </c>
      <c r="D133">
        <v>244</v>
      </c>
      <c r="E133" t="str">
        <f>HYPERLINK("#'Data'!A2474", "Households reporting reasons why they took on debt since February 2022 broken down by rural / urban on the admin of macroregion perc")</f>
        <v>Households reporting reasons why they took on debt since February 2022 broken down by rural / urban on the admin of macroregion perc</v>
      </c>
    </row>
    <row r="134" spans="1:5" hidden="1" x14ac:dyDescent="0.25">
      <c r="A134" t="s">
        <v>89</v>
      </c>
      <c r="B134" t="s">
        <v>105</v>
      </c>
      <c r="C134" t="s">
        <v>35</v>
      </c>
      <c r="D134">
        <v>245</v>
      </c>
      <c r="E134" t="str">
        <f>HYPERLINK("#'Data'!A2496", "Households reporting barriers while accessing markets broken down by displacement status of HoH on the admin of macroregion perc")</f>
        <v>Households reporting barriers while accessing markets broken down by displacement status of HoH on the admin of macroregion perc</v>
      </c>
    </row>
    <row r="135" spans="1:5" hidden="1" x14ac:dyDescent="0.25">
      <c r="A135" t="s">
        <v>89</v>
      </c>
      <c r="B135" t="s">
        <v>106</v>
      </c>
      <c r="C135" t="s">
        <v>35</v>
      </c>
      <c r="D135">
        <v>246</v>
      </c>
      <c r="E135" t="str">
        <f>HYPERLINK("#'Data'!A2509", "Households adopting Livelihood Coping Strategies, by strategy broken down by displacement status of HoH on the admin of...")</f>
        <v>Households adopting Livelihood Coping Strategies, by strategy broken down by displacement status of HoH on the admin of...</v>
      </c>
    </row>
    <row r="136" spans="1:5" hidden="1" x14ac:dyDescent="0.25">
      <c r="A136" t="s">
        <v>89</v>
      </c>
      <c r="B136" t="s">
        <v>106</v>
      </c>
      <c r="C136" t="s">
        <v>45</v>
      </c>
      <c r="D136">
        <v>256</v>
      </c>
      <c r="E136" t="str">
        <f>HYPERLINK("#'Data'!A2551", "Households adopting Livelihood Coping Strategies, by strategy broken down by rural / urban on the admin of macroregion ")</f>
        <v xml:space="preserve">Households adopting Livelihood Coping Strategies, by strategy broken down by rural / urban on the admin of macroregion </v>
      </c>
    </row>
    <row r="137" spans="1:5" x14ac:dyDescent="0.25">
      <c r="A137" t="s">
        <v>89</v>
      </c>
      <c r="B137" t="s">
        <v>106</v>
      </c>
      <c r="C137" t="s">
        <v>62</v>
      </c>
      <c r="D137">
        <v>266</v>
      </c>
      <c r="E137" t="str">
        <f>HYPERLINK("#'Data'!A2624", "Households adopting Livelihood Coping Strategies, by strategy broken down by proximity to the Frontline / Russian borde...")</f>
        <v>Households adopting Livelihood Coping Strategies, by strategy broken down by proximity to the Frontline / Russian borde...</v>
      </c>
    </row>
    <row r="138" spans="1:5" hidden="1" x14ac:dyDescent="0.25">
      <c r="A138" t="s">
        <v>89</v>
      </c>
      <c r="B138" t="s">
        <v>107</v>
      </c>
      <c r="C138" t="s">
        <v>35</v>
      </c>
      <c r="D138">
        <v>276</v>
      </c>
      <c r="E138" t="str">
        <f>HYPERLINK("#'Data'!A2706", "Main Reasons Households Reported for Using Livelihood Coping Strategies  broken down by displacement status of HoH on the admin of macroregion perc")</f>
        <v>Main Reasons Households Reported for Using Livelihood Coping Strategies  broken down by displacement status of HoH on the admin of macroregion perc</v>
      </c>
    </row>
    <row r="139" spans="1:5" hidden="1" x14ac:dyDescent="0.25">
      <c r="A139" t="s">
        <v>89</v>
      </c>
      <c r="B139" t="s">
        <v>107</v>
      </c>
      <c r="C139" t="s">
        <v>45</v>
      </c>
      <c r="D139">
        <v>277</v>
      </c>
      <c r="E139" t="str">
        <f>HYPERLINK("#'Data'!A2719", "Main Reasons Households Reported for Using Livelihood Coping Strategies  broken down by rural / urban on the admin of macroregion perc")</f>
        <v>Main Reasons Households Reported for Using Livelihood Coping Strategies  broken down by rural / urban on the admin of macroregion perc</v>
      </c>
    </row>
    <row r="140" spans="1:5" x14ac:dyDescent="0.25">
      <c r="A140" t="s">
        <v>89</v>
      </c>
      <c r="B140" t="s">
        <v>107</v>
      </c>
      <c r="C140" t="s">
        <v>62</v>
      </c>
      <c r="D140">
        <v>278</v>
      </c>
      <c r="E140" t="str">
        <f>HYPERLINK("#'Data'!A2741", "Main Reasons Households Reported for Using Livelihood Coping Strategies  broken down by proximity to the Frontline / Russian border on the admin of...")</f>
        <v>Main Reasons Households Reported for Using Livelihood Coping Strategies  broken down by proximity to the Frontline / Russian border on the admin of...</v>
      </c>
    </row>
    <row r="141" spans="1:5" hidden="1" x14ac:dyDescent="0.25">
      <c r="A141" t="s">
        <v>89</v>
      </c>
      <c r="B141" t="s">
        <v>108</v>
      </c>
      <c r="C141" t="s">
        <v>35</v>
      </c>
      <c r="D141">
        <v>279</v>
      </c>
      <c r="E141" t="str">
        <f>HYPERLINK("#'Data'!A2767", "Livelihood Coping Strategy - Essential Needs (LCS-EN) broken down by displacement status of HoH on the admin of macroregion perc")</f>
        <v>Livelihood Coping Strategy - Essential Needs (LCS-EN) broken down by displacement status of HoH on the admin of macroregion perc</v>
      </c>
    </row>
    <row r="142" spans="1:5" hidden="1" x14ac:dyDescent="0.25">
      <c r="A142" t="s">
        <v>89</v>
      </c>
      <c r="B142" t="s">
        <v>108</v>
      </c>
      <c r="C142" t="s">
        <v>45</v>
      </c>
      <c r="D142">
        <v>280</v>
      </c>
      <c r="E142" t="str">
        <f>HYPERLINK("#'Data'!A2780", "Livelihood Coping Strategy - Essential Needs (LCS-EN) broken down by rural / urban on the admin of macroregion perc")</f>
        <v>Livelihood Coping Strategy - Essential Needs (LCS-EN) broken down by rural / urban on the admin of macroregion perc</v>
      </c>
    </row>
    <row r="143" spans="1:5" x14ac:dyDescent="0.25">
      <c r="A143" t="s">
        <v>89</v>
      </c>
      <c r="B143" t="s">
        <v>108</v>
      </c>
      <c r="C143" t="s">
        <v>62</v>
      </c>
      <c r="D143">
        <v>281</v>
      </c>
      <c r="E143" t="str">
        <f>HYPERLINK("#'Data'!A2802", "Livelihood Coping Strategy - Essential Needs (LCS-EN) broken down by proximity to the Frontline / Russian border on the admin of macroregion perc")</f>
        <v>Livelihood Coping Strategy - Essential Needs (LCS-EN) broken down by proximity to the Frontline / Russian border on the admin of macroregion perc</v>
      </c>
    </row>
    <row r="144" spans="1:5" hidden="1" x14ac:dyDescent="0.25">
      <c r="A144" t="s">
        <v>109</v>
      </c>
      <c r="B144" t="s">
        <v>110</v>
      </c>
      <c r="C144" t="s">
        <v>35</v>
      </c>
      <c r="D144">
        <v>282</v>
      </c>
      <c r="E144" t="str">
        <f>HYPERLINK("#'Data'!A2828", "Security Factors that reportedly influenced households' sense of safety broken down by displacement status of HoH on the admin of macroregion perc")</f>
        <v>Security Factors that reportedly influenced households' sense of safety broken down by displacement status of HoH on the admin of macroregion perc</v>
      </c>
    </row>
    <row r="145" spans="1:5" hidden="1" x14ac:dyDescent="0.25">
      <c r="A145" t="s">
        <v>109</v>
      </c>
      <c r="B145" t="s">
        <v>110</v>
      </c>
      <c r="C145" t="s">
        <v>44</v>
      </c>
      <c r="D145">
        <v>283</v>
      </c>
      <c r="E145" t="str">
        <f>HYPERLINK("#'Data'!A2841", "Security Factors that reportedly influenced households' sense of safety broken down by gender of respondent on the admin of macroregion perc")</f>
        <v>Security Factors that reportedly influenced households' sense of safety broken down by gender of respondent on the admin of macroregion perc</v>
      </c>
    </row>
    <row r="146" spans="1:5" hidden="1" x14ac:dyDescent="0.25">
      <c r="A146" t="s">
        <v>109</v>
      </c>
      <c r="B146" t="s">
        <v>110</v>
      </c>
      <c r="C146" t="s">
        <v>45</v>
      </c>
      <c r="D146">
        <v>284</v>
      </c>
      <c r="E146" t="str">
        <f>HYPERLINK("#'Data'!A2863", "Security Factors that reportedly influenced households' sense of safety broken down by rural / urban on the admin of macroregion perc")</f>
        <v>Security Factors that reportedly influenced households' sense of safety broken down by rural / urban on the admin of macroregion perc</v>
      </c>
    </row>
    <row r="147" spans="1:5" x14ac:dyDescent="0.25">
      <c r="A147" t="s">
        <v>109</v>
      </c>
      <c r="B147" t="s">
        <v>110</v>
      </c>
      <c r="C147" t="s">
        <v>62</v>
      </c>
      <c r="D147">
        <v>285</v>
      </c>
      <c r="E147" t="str">
        <f>HYPERLINK("#'Data'!A2885", "Security Factors that reportedly influenced households' sense of safety broken down by proximity to the Frontline / Russian border on the admin of ...")</f>
        <v>Security Factors that reportedly influenced households' sense of safety broken down by proximity to the Frontline / Russian border on the admin of ...</v>
      </c>
    </row>
    <row r="148" spans="1:5" hidden="1" x14ac:dyDescent="0.25">
      <c r="A148" t="s">
        <v>109</v>
      </c>
      <c r="B148" t="s">
        <v>111</v>
      </c>
      <c r="C148" t="s">
        <v>35</v>
      </c>
      <c r="D148">
        <v>286</v>
      </c>
      <c r="E148" t="str">
        <f>HYPERLINK("#'Data'!A2911", "Reasons why social tension or discrimination impacted households' sense of safety broken down by displacement status of HoH on the admin of macrore...")</f>
        <v>Reasons why social tension or discrimination impacted households' sense of safety broken down by displacement status of HoH on the admin of macrore...</v>
      </c>
    </row>
    <row r="149" spans="1:5" hidden="1" x14ac:dyDescent="0.25">
      <c r="A149" t="s">
        <v>109</v>
      </c>
      <c r="B149" t="s">
        <v>112</v>
      </c>
      <c r="C149" t="s">
        <v>35</v>
      </c>
      <c r="D149">
        <v>287</v>
      </c>
      <c r="E149" t="str">
        <f>HYPERLINK("#'Data'!A2924", "Households that reported being concerned about having any HH member engaging in risky activities due to the economic needs broken down by displacem...")</f>
        <v>Households that reported being concerned about having any HH member engaging in risky activities due to the economic needs broken down by displacem...</v>
      </c>
    </row>
    <row r="150" spans="1:5" hidden="1" x14ac:dyDescent="0.25">
      <c r="A150" t="s">
        <v>109</v>
      </c>
      <c r="B150" t="s">
        <v>112</v>
      </c>
      <c r="C150" t="s">
        <v>44</v>
      </c>
      <c r="D150">
        <v>288</v>
      </c>
      <c r="E150" t="str">
        <f>HYPERLINK("#'Data'!A2937", "Households that reported being concerned about having any HH member engaging in risky activities due to the economic needs broken down by gender of...")</f>
        <v>Households that reported being concerned about having any HH member engaging in risky activities due to the economic needs broken down by gender of...</v>
      </c>
    </row>
    <row r="151" spans="1:5" hidden="1" x14ac:dyDescent="0.25">
      <c r="A151" t="s">
        <v>109</v>
      </c>
      <c r="B151" t="s">
        <v>112</v>
      </c>
      <c r="C151" t="s">
        <v>45</v>
      </c>
      <c r="D151">
        <v>289</v>
      </c>
      <c r="E151" t="str">
        <f>HYPERLINK("#'Data'!A2959", "Households that reported being concerned about having any HH member engaging in risky activities due to the economic needs broken down by rural / u...")</f>
        <v>Households that reported being concerned about having any HH member engaging in risky activities due to the economic needs broken down by rural / u...</v>
      </c>
    </row>
    <row r="152" spans="1:5" x14ac:dyDescent="0.25">
      <c r="A152" t="s">
        <v>109</v>
      </c>
      <c r="B152" t="s">
        <v>112</v>
      </c>
      <c r="C152" t="s">
        <v>62</v>
      </c>
      <c r="D152">
        <v>290</v>
      </c>
      <c r="E152" t="str">
        <f>HYPERLINK("#'Data'!A2981", "Households that reported being concerned about having any HH member engaging in risky activities due to the economic needs broken down by proximity...")</f>
        <v>Households that reported being concerned about having any HH member engaging in risky activities due to the economic needs broken down by proximity...</v>
      </c>
    </row>
    <row r="153" spans="1:5" hidden="1" x14ac:dyDescent="0.25">
      <c r="A153" t="s">
        <v>109</v>
      </c>
      <c r="B153" t="s">
        <v>113</v>
      </c>
      <c r="C153" t="s">
        <v>35</v>
      </c>
      <c r="D153">
        <v>291</v>
      </c>
      <c r="E153" t="str">
        <f>HYPERLINK("#'Data'!A3007", "Households that reported being concerned about being forced to flee their home broken down by displacement status of HoH on the admin of macroregio...")</f>
        <v>Households that reported being concerned about being forced to flee their home broken down by displacement status of HoH on the admin of macroregio...</v>
      </c>
    </row>
    <row r="154" spans="1:5" hidden="1" x14ac:dyDescent="0.25">
      <c r="A154" t="s">
        <v>109</v>
      </c>
      <c r="B154" t="s">
        <v>113</v>
      </c>
      <c r="C154" t="s">
        <v>44</v>
      </c>
      <c r="D154">
        <v>292</v>
      </c>
      <c r="E154" t="str">
        <f>HYPERLINK("#'Data'!A3020", "Households that reported being concerned about being forced to flee their home broken down by gender of respondent on the admin of macroregion perc")</f>
        <v>Households that reported being concerned about being forced to flee their home broken down by gender of respondent on the admin of macroregion perc</v>
      </c>
    </row>
    <row r="155" spans="1:5" hidden="1" x14ac:dyDescent="0.25">
      <c r="A155" t="s">
        <v>109</v>
      </c>
      <c r="B155" t="s">
        <v>113</v>
      </c>
      <c r="C155" t="s">
        <v>45</v>
      </c>
      <c r="D155">
        <v>293</v>
      </c>
      <c r="E155" t="str">
        <f>HYPERLINK("#'Data'!A3042", "Households that reported being concerned about being forced to flee their home broken down by rural / urban on the admin of macroregion perc")</f>
        <v>Households that reported being concerned about being forced to flee their home broken down by rural / urban on the admin of macroregion perc</v>
      </c>
    </row>
    <row r="156" spans="1:5" x14ac:dyDescent="0.25">
      <c r="A156" t="s">
        <v>109</v>
      </c>
      <c r="B156" t="s">
        <v>113</v>
      </c>
      <c r="C156" t="s">
        <v>62</v>
      </c>
      <c r="D156">
        <v>294</v>
      </c>
      <c r="E156" t="str">
        <f>HYPERLINK("#'Data'!A3064", "Households that reported being concerned about being forced to flee their home broken down by proximity to the Frontline / Russian border on the ad...")</f>
        <v>Households that reported being concerned about being forced to flee their home broken down by proximity to the Frontline / Russian border on the ad...</v>
      </c>
    </row>
    <row r="157" spans="1:5" hidden="1" x14ac:dyDescent="0.25">
      <c r="A157" t="s">
        <v>109</v>
      </c>
      <c r="B157" t="s">
        <v>114</v>
      </c>
      <c r="C157" t="s">
        <v>35</v>
      </c>
      <c r="D157">
        <v>295</v>
      </c>
      <c r="E157" t="str">
        <f>HYPERLINK("#'Data'!A3090", "Security factors that reportedly influenced sense of safety of WOMEN in community broken down by displacement status of HoH on the admin of macrore...")</f>
        <v>Security factors that reportedly influenced sense of safety of WOMEN in community broken down by displacement status of HoH on the admin of macrore...</v>
      </c>
    </row>
    <row r="158" spans="1:5" hidden="1" x14ac:dyDescent="0.25">
      <c r="A158" t="s">
        <v>109</v>
      </c>
      <c r="B158" t="s">
        <v>114</v>
      </c>
      <c r="C158" t="s">
        <v>44</v>
      </c>
      <c r="D158">
        <v>296</v>
      </c>
      <c r="E158" t="str">
        <f>HYPERLINK("#'Data'!A3103", "Security factors that reportedly influenced sense of safety of WOMEN in community broken down by gender of respondent on the admin of macroregion p...")</f>
        <v>Security factors that reportedly influenced sense of safety of WOMEN in community broken down by gender of respondent on the admin of macroregion p...</v>
      </c>
    </row>
    <row r="159" spans="1:5" hidden="1" x14ac:dyDescent="0.25">
      <c r="A159" t="s">
        <v>109</v>
      </c>
      <c r="B159" t="s">
        <v>114</v>
      </c>
      <c r="C159" t="s">
        <v>45</v>
      </c>
      <c r="D159">
        <v>297</v>
      </c>
      <c r="E159" t="str">
        <f>HYPERLINK("#'Data'!A3125", "Security factors that reportedly influenced sense of safety of WOMEN in community broken down by rural / urban on the admin of macroregion perc")</f>
        <v>Security factors that reportedly influenced sense of safety of WOMEN in community broken down by rural / urban on the admin of macroregion perc</v>
      </c>
    </row>
    <row r="160" spans="1:5" x14ac:dyDescent="0.25">
      <c r="A160" t="s">
        <v>109</v>
      </c>
      <c r="B160" t="s">
        <v>114</v>
      </c>
      <c r="C160" t="s">
        <v>62</v>
      </c>
      <c r="D160">
        <v>298</v>
      </c>
      <c r="E160" t="str">
        <f>HYPERLINK("#'Data'!A3147", "Security factors that reportedly influenced sense of safety of WOMEN in community broken down by proximity to the Frontline / Russian border on the...")</f>
        <v>Security factors that reportedly influenced sense of safety of WOMEN in community broken down by proximity to the Frontline / Russian border on the...</v>
      </c>
    </row>
    <row r="161" spans="1:5" hidden="1" x14ac:dyDescent="0.25">
      <c r="A161" t="s">
        <v>109</v>
      </c>
      <c r="B161" t="s">
        <v>115</v>
      </c>
      <c r="C161" t="s">
        <v>35</v>
      </c>
      <c r="D161">
        <v>299</v>
      </c>
      <c r="E161" t="str">
        <f>HYPERLINK("#'Data'!A3173", "Households with women that reportedly feel unsafe walking in community broken down by displacement status of HoH on the admin of macroregion perc")</f>
        <v>Households with women that reportedly feel unsafe walking in community broken down by displacement status of HoH on the admin of macroregion perc</v>
      </c>
    </row>
    <row r="162" spans="1:5" hidden="1" x14ac:dyDescent="0.25">
      <c r="A162" t="s">
        <v>109</v>
      </c>
      <c r="B162" t="s">
        <v>116</v>
      </c>
      <c r="C162" t="s">
        <v>35</v>
      </c>
      <c r="D162">
        <v>300</v>
      </c>
      <c r="E162" t="str">
        <f>HYPERLINK("#'Data'!A3186", "Places women reportedly avoid because of security concerns broken down by displacement status of HoH on the admin of macroregion perc")</f>
        <v>Places women reportedly avoid because of security concerns broken down by displacement status of HoH on the admin of macroregion perc</v>
      </c>
    </row>
    <row r="163" spans="1:5" hidden="1" x14ac:dyDescent="0.25">
      <c r="A163" t="s">
        <v>109</v>
      </c>
      <c r="B163" t="s">
        <v>117</v>
      </c>
      <c r="C163" t="s">
        <v>35</v>
      </c>
      <c r="D163">
        <v>301</v>
      </c>
      <c r="E163" t="str">
        <f>HYPERLINK("#'Data'!A3199", "Security factors that reportedly influenced sense of safety of MEN in community broken down by displacement status of HoH on the admin of macroregi...")</f>
        <v>Security factors that reportedly influenced sense of safety of MEN in community broken down by displacement status of HoH on the admin of macroregi...</v>
      </c>
    </row>
    <row r="164" spans="1:5" hidden="1" x14ac:dyDescent="0.25">
      <c r="A164" t="s">
        <v>109</v>
      </c>
      <c r="B164" t="s">
        <v>117</v>
      </c>
      <c r="C164" t="s">
        <v>44</v>
      </c>
      <c r="D164">
        <v>302</v>
      </c>
      <c r="E164" t="str">
        <f>HYPERLINK("#'Data'!A3212", "Security factors that reportedly influenced sense of safety of MEN in community broken down by gender of respondent on the admin of macroregion per...")</f>
        <v>Security factors that reportedly influenced sense of safety of MEN in community broken down by gender of respondent on the admin of macroregion per...</v>
      </c>
    </row>
    <row r="165" spans="1:5" hidden="1" x14ac:dyDescent="0.25">
      <c r="A165" t="s">
        <v>109</v>
      </c>
      <c r="B165" t="s">
        <v>117</v>
      </c>
      <c r="C165" t="s">
        <v>45</v>
      </c>
      <c r="D165">
        <v>303</v>
      </c>
      <c r="E165" t="str">
        <f>HYPERLINK("#'Data'!A3234", "Security factors that reportedly influenced sense of safety of MEN in community broken down by rural / urban on the admin of macroregion perc")</f>
        <v>Security factors that reportedly influenced sense of safety of MEN in community broken down by rural / urban on the admin of macroregion perc</v>
      </c>
    </row>
    <row r="166" spans="1:5" x14ac:dyDescent="0.25">
      <c r="A166" t="s">
        <v>109</v>
      </c>
      <c r="B166" t="s">
        <v>117</v>
      </c>
      <c r="C166" t="s">
        <v>62</v>
      </c>
      <c r="D166">
        <v>304</v>
      </c>
      <c r="E166" t="str">
        <f>HYPERLINK("#'Data'!A3256", "Security factors that reportedly influenced sense of safety of MEN in community broken down by proximity to the Frontline / Russian border on the a...")</f>
        <v>Security factors that reportedly influenced sense of safety of MEN in community broken down by proximity to the Frontline / Russian border on the a...</v>
      </c>
    </row>
    <row r="167" spans="1:5" hidden="1" x14ac:dyDescent="0.25">
      <c r="A167" t="s">
        <v>109</v>
      </c>
      <c r="B167" t="s">
        <v>118</v>
      </c>
      <c r="C167" t="s">
        <v>35</v>
      </c>
      <c r="D167">
        <v>305</v>
      </c>
      <c r="E167" t="str">
        <f>HYPERLINK("#'Data'!A3282", "Security factors that reportedly influenced sense of safety of CHILDREN in community broken down by displacement status of HoH on the admin of macr...")</f>
        <v>Security factors that reportedly influenced sense of safety of CHILDREN in community broken down by displacement status of HoH on the admin of macr...</v>
      </c>
    </row>
    <row r="168" spans="1:5" hidden="1" x14ac:dyDescent="0.25">
      <c r="A168" t="s">
        <v>109</v>
      </c>
      <c r="B168" t="s">
        <v>118</v>
      </c>
      <c r="C168" t="s">
        <v>44</v>
      </c>
      <c r="D168">
        <v>306</v>
      </c>
      <c r="E168" t="str">
        <f>HYPERLINK("#'Data'!A3295", "Security factors that reportedly influenced sense of safety of CHILDREN in community broken down by gender of respondent on the admin of macroregio...")</f>
        <v>Security factors that reportedly influenced sense of safety of CHILDREN in community broken down by gender of respondent on the admin of macroregio...</v>
      </c>
    </row>
    <row r="169" spans="1:5" hidden="1" x14ac:dyDescent="0.25">
      <c r="A169" t="s">
        <v>109</v>
      </c>
      <c r="B169" t="s">
        <v>118</v>
      </c>
      <c r="C169" t="s">
        <v>119</v>
      </c>
      <c r="D169">
        <v>307</v>
      </c>
      <c r="E169" t="str">
        <f>HYPERLINK("#'Data'!A3317", "Security factors that reportedly influenced sense of safety of CHILDREN in community broken down by presence of children on the admin of macroregio...")</f>
        <v>Security factors that reportedly influenced sense of safety of CHILDREN in community broken down by presence of children on the admin of macroregio...</v>
      </c>
    </row>
    <row r="170" spans="1:5" hidden="1" x14ac:dyDescent="0.25">
      <c r="A170" t="s">
        <v>109</v>
      </c>
      <c r="B170" t="s">
        <v>118</v>
      </c>
      <c r="C170" t="s">
        <v>45</v>
      </c>
      <c r="D170">
        <v>308</v>
      </c>
      <c r="E170" t="str">
        <f>HYPERLINK("#'Data'!A3339", "Security factors that reportedly influenced sense of safety of CHILDREN in community broken down by rural / urban on the admin of macroregion perc")</f>
        <v>Security factors that reportedly influenced sense of safety of CHILDREN in community broken down by rural / urban on the admin of macroregion perc</v>
      </c>
    </row>
    <row r="171" spans="1:5" x14ac:dyDescent="0.25">
      <c r="A171" t="s">
        <v>109</v>
      </c>
      <c r="B171" t="s">
        <v>118</v>
      </c>
      <c r="C171" t="s">
        <v>62</v>
      </c>
      <c r="D171">
        <v>309</v>
      </c>
      <c r="E171" t="str">
        <f>HYPERLINK("#'Data'!A3361", "Security factors that reportedly influenced sense of safety of CHILDREN in community broken down by proximity to the Frontline / Russian border on ...")</f>
        <v>Security factors that reportedly influenced sense of safety of CHILDREN in community broken down by proximity to the Frontline / Russian border on ...</v>
      </c>
    </row>
    <row r="172" spans="1:5" hidden="1" x14ac:dyDescent="0.25">
      <c r="A172" t="s">
        <v>109</v>
      </c>
      <c r="B172" t="s">
        <v>120</v>
      </c>
      <c r="C172" t="s">
        <v>35</v>
      </c>
      <c r="D172">
        <v>310</v>
      </c>
      <c r="E172" t="str">
        <f>HYPERLINK("#'Data'!A3387", "Housing/land/property (HLP) concerns households reported experiencing broken down by displacement status of HoH on the admin of macroregion perc")</f>
        <v>Housing/land/property (HLP) concerns households reported experiencing broken down by displacement status of HoH on the admin of macroregion perc</v>
      </c>
    </row>
    <row r="173" spans="1:5" hidden="1" x14ac:dyDescent="0.25">
      <c r="A173" t="s">
        <v>109</v>
      </c>
      <c r="B173" t="s">
        <v>120</v>
      </c>
      <c r="C173" t="s">
        <v>45</v>
      </c>
      <c r="D173">
        <v>311</v>
      </c>
      <c r="E173" t="str">
        <f>HYPERLINK("#'Data'!A3400", "Housing/land/property (HLP) concerns households reported experiencing broken down by rural / urban on the admin of macroregion perc")</f>
        <v>Housing/land/property (HLP) concerns households reported experiencing broken down by rural / urban on the admin of macroregion perc</v>
      </c>
    </row>
    <row r="174" spans="1:5" x14ac:dyDescent="0.25">
      <c r="A174" t="s">
        <v>109</v>
      </c>
      <c r="B174" t="s">
        <v>120</v>
      </c>
      <c r="C174" t="s">
        <v>62</v>
      </c>
      <c r="D174">
        <v>312</v>
      </c>
      <c r="E174" t="str">
        <f>HYPERLINK("#'Data'!A3422", "Housing/land/property (HLP) concerns households reported experiencing broken down by proximity to the Frontline / Russian border on the admin of ma...")</f>
        <v>Housing/land/property (HLP) concerns households reported experiencing broken down by proximity to the Frontline / Russian border on the admin of ma...</v>
      </c>
    </row>
    <row r="175" spans="1:5" hidden="1" x14ac:dyDescent="0.25">
      <c r="A175" t="s">
        <v>121</v>
      </c>
      <c r="B175" t="s">
        <v>122</v>
      </c>
      <c r="C175" t="s">
        <v>35</v>
      </c>
      <c r="D175">
        <v>313</v>
      </c>
      <c r="E175" t="str">
        <f>HYPERLINK("#'Data'!A3448", "Number of times Household members reportedly were trained on safe behaviours towards Explosive Ordnances  broken down by displacement status of HoH...")</f>
        <v>Number of times Household members reportedly were trained on safe behaviours towards Explosive Ordnances  broken down by displacement status of HoH...</v>
      </c>
    </row>
    <row r="176" spans="1:5" hidden="1" x14ac:dyDescent="0.25">
      <c r="A176" t="s">
        <v>121</v>
      </c>
      <c r="B176" t="s">
        <v>123</v>
      </c>
      <c r="C176" t="s">
        <v>35</v>
      </c>
      <c r="D176">
        <v>314</v>
      </c>
      <c r="E176" t="str">
        <f>HYPERLINK("#'Data'!A3461", "Households Reporting Explosive Ordnance Currently Present in their Community broken down by displacement status of HoH on the admin of macroregion ...")</f>
        <v>Households Reporting Explosive Ordnance Currently Present in their Community broken down by displacement status of HoH on the admin of macroregion ...</v>
      </c>
    </row>
    <row r="177" spans="1:5" hidden="1" x14ac:dyDescent="0.25">
      <c r="A177" t="s">
        <v>121</v>
      </c>
      <c r="B177" t="s">
        <v>124</v>
      </c>
      <c r="C177" t="s">
        <v>35</v>
      </c>
      <c r="D177">
        <v>315</v>
      </c>
      <c r="E177" t="str">
        <f>HYPERLINK("#'Data'!A3474", "Households Reporting that Explosive Ordnance Affect the Livelihoods of People within their Community broken down by displacement status of HoH on t...")</f>
        <v>Households Reporting that Explosive Ordnance Affect the Livelihoods of People within their Community broken down by displacement status of HoH on t...</v>
      </c>
    </row>
    <row r="178" spans="1:5" hidden="1" x14ac:dyDescent="0.25">
      <c r="A178" t="s">
        <v>125</v>
      </c>
      <c r="B178" t="s">
        <v>126</v>
      </c>
      <c r="C178" t="s">
        <v>35</v>
      </c>
      <c r="D178">
        <v>316</v>
      </c>
      <c r="E178" t="str">
        <f>HYPERLINK("#'Data'!A3487", "Households describing their shelter situation broken down by displacement status of HoH on the admin of macroregion perc")</f>
        <v>Households describing their shelter situation broken down by displacement status of HoH on the admin of macroregion perc</v>
      </c>
    </row>
    <row r="179" spans="1:5" hidden="1" x14ac:dyDescent="0.25">
      <c r="A179" t="s">
        <v>125</v>
      </c>
      <c r="B179" t="s">
        <v>126</v>
      </c>
      <c r="C179" t="s">
        <v>45</v>
      </c>
      <c r="D179">
        <v>317</v>
      </c>
      <c r="E179" t="str">
        <f>HYPERLINK("#'Data'!A3500", "Households describing their shelter situation broken down by rural / urban on the admin of macroregion perc")</f>
        <v>Households describing their shelter situation broken down by rural / urban on the admin of macroregion perc</v>
      </c>
    </row>
    <row r="180" spans="1:5" x14ac:dyDescent="0.25">
      <c r="A180" t="s">
        <v>125</v>
      </c>
      <c r="B180" t="s">
        <v>126</v>
      </c>
      <c r="C180" t="s">
        <v>62</v>
      </c>
      <c r="D180">
        <v>318</v>
      </c>
      <c r="E180" t="str">
        <f>HYPERLINK("#'Data'!A3522", "Households describing their shelter situation broken down by proximity to the Frontline / Russian border on the admin of macroregion perc")</f>
        <v>Households describing their shelter situation broken down by proximity to the Frontline / Russian border on the admin of macroregion perc</v>
      </c>
    </row>
    <row r="181" spans="1:5" hidden="1" x14ac:dyDescent="0.25">
      <c r="A181" t="s">
        <v>125</v>
      </c>
      <c r="B181" t="s">
        <v>127</v>
      </c>
      <c r="C181" t="s">
        <v>35</v>
      </c>
      <c r="D181">
        <v>319</v>
      </c>
      <c r="E181" t="str">
        <f>HYPERLINK("#'Data'!A3548", "Households reporting type of shelter they live in broken down by displacement status of HoH on the admin of macroregion perc")</f>
        <v>Households reporting type of shelter they live in broken down by displacement status of HoH on the admin of macroregion perc</v>
      </c>
    </row>
    <row r="182" spans="1:5" hidden="1" x14ac:dyDescent="0.25">
      <c r="A182" t="s">
        <v>125</v>
      </c>
      <c r="B182" t="s">
        <v>127</v>
      </c>
      <c r="C182" t="s">
        <v>45</v>
      </c>
      <c r="D182">
        <v>320</v>
      </c>
      <c r="E182" t="str">
        <f>HYPERLINK("#'Data'!A3561", "Households reporting type of shelter they live in broken down by rural / urban on the admin of macroregion perc")</f>
        <v>Households reporting type of shelter they live in broken down by rural / urban on the admin of macroregion perc</v>
      </c>
    </row>
    <row r="183" spans="1:5" x14ac:dyDescent="0.25">
      <c r="A183" t="s">
        <v>125</v>
      </c>
      <c r="B183" t="s">
        <v>127</v>
      </c>
      <c r="C183" t="s">
        <v>62</v>
      </c>
      <c r="D183">
        <v>321</v>
      </c>
      <c r="E183" t="str">
        <f>HYPERLINK("#'Data'!A3583", "Households reporting type of shelter they live in broken down by proximity to the Frontline / Russian border on the admin of macroregion perc")</f>
        <v>Households reporting type of shelter they live in broken down by proximity to the Frontline / Russian border on the admin of macroregion perc</v>
      </c>
    </row>
    <row r="184" spans="1:5" hidden="1" x14ac:dyDescent="0.25">
      <c r="A184" t="s">
        <v>125</v>
      </c>
      <c r="B184" t="s">
        <v>128</v>
      </c>
      <c r="C184" t="s">
        <v>35</v>
      </c>
      <c r="D184">
        <v>322</v>
      </c>
      <c r="E184" t="str">
        <f>HYPERLINK("#'Data'!A3609", "Households reporting number of square meters in their shelter broken down by displacement status of HoH on the admin of macroregion mean")</f>
        <v>Households reporting number of square meters in their shelter broken down by displacement status of HoH on the admin of macroregion mean</v>
      </c>
    </row>
    <row r="185" spans="1:5" hidden="1" x14ac:dyDescent="0.25">
      <c r="A185" t="s">
        <v>125</v>
      </c>
      <c r="B185" t="s">
        <v>128</v>
      </c>
      <c r="C185" t="s">
        <v>45</v>
      </c>
      <c r="D185">
        <v>323</v>
      </c>
      <c r="E185" t="str">
        <f>HYPERLINK("#'Data'!A3622", "Households reporting number of square meters in their shelter broken down by rural / urban on the admin of macroregion mean")</f>
        <v>Households reporting number of square meters in their shelter broken down by rural / urban on the admin of macroregion mean</v>
      </c>
    </row>
    <row r="186" spans="1:5" x14ac:dyDescent="0.25">
      <c r="A186" t="s">
        <v>125</v>
      </c>
      <c r="B186" t="s">
        <v>128</v>
      </c>
      <c r="C186" t="s">
        <v>62</v>
      </c>
      <c r="D186">
        <v>324</v>
      </c>
      <c r="E186" t="str">
        <f>HYPERLINK("#'Data'!A3644", "Households reporting number of square meters in their shelter broken down by proximity to the Frontline / Russian border on the admin of macroregio...")</f>
        <v>Households reporting number of square meters in their shelter broken down by proximity to the Frontline / Russian border on the admin of macroregio...</v>
      </c>
    </row>
    <row r="187" spans="1:5" hidden="1" x14ac:dyDescent="0.25">
      <c r="A187" t="s">
        <v>125</v>
      </c>
      <c r="B187" t="s">
        <v>129</v>
      </c>
      <c r="C187" t="s">
        <v>35</v>
      </c>
      <c r="D187">
        <v>325</v>
      </c>
      <c r="E187" t="str">
        <f>HYPERLINK("#'Data'!A3670", "Households reporting number of individuals living in their current shelter broken down by displacement status of HoH on the admin of macroregion me...")</f>
        <v>Households reporting number of individuals living in their current shelter broken down by displacement status of HoH on the admin of macroregion me...</v>
      </c>
    </row>
    <row r="188" spans="1:5" hidden="1" x14ac:dyDescent="0.25">
      <c r="A188" t="s">
        <v>125</v>
      </c>
      <c r="B188" t="s">
        <v>129</v>
      </c>
      <c r="C188" t="s">
        <v>45</v>
      </c>
      <c r="D188">
        <v>326</v>
      </c>
      <c r="E188" t="str">
        <f>HYPERLINK("#'Data'!A3683", "Households reporting number of individuals living in their current shelter broken down by rural / urban on the admin of macroregion mean")</f>
        <v>Households reporting number of individuals living in their current shelter broken down by rural / urban on the admin of macroregion mean</v>
      </c>
    </row>
    <row r="189" spans="1:5" x14ac:dyDescent="0.25">
      <c r="A189" t="s">
        <v>125</v>
      </c>
      <c r="B189" t="s">
        <v>129</v>
      </c>
      <c r="C189" t="s">
        <v>62</v>
      </c>
      <c r="D189">
        <v>327</v>
      </c>
      <c r="E189" t="str">
        <f>HYPERLINK("#'Data'!A3705", "Households reporting number of individuals living in their current shelter broken down by proximity to the Frontline / Russian border on the admin ...")</f>
        <v>Households reporting number of individuals living in their current shelter broken down by proximity to the Frontline / Russian border on the admin ...</v>
      </c>
    </row>
    <row r="190" spans="1:5" hidden="1" x14ac:dyDescent="0.25">
      <c r="A190" t="s">
        <v>125</v>
      </c>
      <c r="B190" t="s">
        <v>130</v>
      </c>
      <c r="C190" t="s">
        <v>35</v>
      </c>
      <c r="D190">
        <v>328</v>
      </c>
      <c r="E190" t="str">
        <f>HYPERLINK("#'Data'!A3731", "Shelter overcrowding broken down by displacement status of HoH on the admin of macroregion mean")</f>
        <v>Shelter overcrowding broken down by displacement status of HoH on the admin of macroregion mean</v>
      </c>
    </row>
    <row r="191" spans="1:5" hidden="1" x14ac:dyDescent="0.25">
      <c r="A191" t="s">
        <v>125</v>
      </c>
      <c r="B191" t="s">
        <v>130</v>
      </c>
      <c r="C191" t="s">
        <v>45</v>
      </c>
      <c r="D191">
        <v>329</v>
      </c>
      <c r="E191" t="str">
        <f>HYPERLINK("#'Data'!A3744", "Shelter overcrowding broken down by rural / urban on the admin of macroregion mean")</f>
        <v>Shelter overcrowding broken down by rural / urban on the admin of macroregion mean</v>
      </c>
    </row>
    <row r="192" spans="1:5" x14ac:dyDescent="0.25">
      <c r="A192" t="s">
        <v>125</v>
      </c>
      <c r="B192" t="s">
        <v>130</v>
      </c>
      <c r="C192" t="s">
        <v>62</v>
      </c>
      <c r="D192">
        <v>330</v>
      </c>
      <c r="E192" t="str">
        <f>HYPERLINK("#'Data'!A3766", "Shelter overcrowding broken down by proximity to the Frontline / Russian border on the admin of macroregion mean")</f>
        <v>Shelter overcrowding broken down by proximity to the Frontline / Russian border on the admin of macroregion mean</v>
      </c>
    </row>
    <row r="193" spans="1:5" hidden="1" x14ac:dyDescent="0.25">
      <c r="A193" t="s">
        <v>125</v>
      </c>
      <c r="B193" t="s">
        <v>131</v>
      </c>
      <c r="C193" t="s">
        <v>35</v>
      </c>
      <c r="D193">
        <v>331</v>
      </c>
      <c r="E193" t="str">
        <f>HYPERLINK("#'Data'!A3792", "Households reporting occupancy arrangement of their shelter broken down by displacement status of HoH on the admin of macroregion perc")</f>
        <v>Households reporting occupancy arrangement of their shelter broken down by displacement status of HoH on the admin of macroregion perc</v>
      </c>
    </row>
    <row r="194" spans="1:5" hidden="1" x14ac:dyDescent="0.25">
      <c r="A194" t="s">
        <v>125</v>
      </c>
      <c r="B194" t="s">
        <v>131</v>
      </c>
      <c r="C194" t="s">
        <v>45</v>
      </c>
      <c r="D194">
        <v>332</v>
      </c>
      <c r="E194" t="str">
        <f>HYPERLINK("#'Data'!A3805", "Households reporting occupancy arrangement of their shelter broken down by rural / urban on the admin of macroregion perc")</f>
        <v>Households reporting occupancy arrangement of their shelter broken down by rural / urban on the admin of macroregion perc</v>
      </c>
    </row>
    <row r="195" spans="1:5" x14ac:dyDescent="0.25">
      <c r="A195" t="s">
        <v>125</v>
      </c>
      <c r="B195" t="s">
        <v>131</v>
      </c>
      <c r="C195" t="s">
        <v>62</v>
      </c>
      <c r="D195">
        <v>333</v>
      </c>
      <c r="E195" t="str">
        <f>HYPERLINK("#'Data'!A3827", "Households reporting occupancy arrangement of their shelter broken down by proximity to the Frontline / Russian border on the admin of macroregion ...")</f>
        <v>Households reporting occupancy arrangement of their shelter broken down by proximity to the Frontline / Russian border on the admin of macroregion ...</v>
      </c>
    </row>
    <row r="196" spans="1:5" hidden="1" x14ac:dyDescent="0.25">
      <c r="A196" t="s">
        <v>125</v>
      </c>
      <c r="B196" t="s">
        <v>132</v>
      </c>
      <c r="C196" t="s">
        <v>35</v>
      </c>
      <c r="D196">
        <v>334</v>
      </c>
      <c r="E196" t="str">
        <f>HYPERLINK("#'Data'!A3853", "Households reporting risk of being evicted from their shelter broken down by displacement status of HoH on the admin of macroregion perc")</f>
        <v>Households reporting risk of being evicted from their shelter broken down by displacement status of HoH on the admin of macroregion perc</v>
      </c>
    </row>
    <row r="197" spans="1:5" hidden="1" x14ac:dyDescent="0.25">
      <c r="A197" t="s">
        <v>125</v>
      </c>
      <c r="B197" t="s">
        <v>132</v>
      </c>
      <c r="C197" t="s">
        <v>45</v>
      </c>
      <c r="D197">
        <v>335</v>
      </c>
      <c r="E197" t="str">
        <f>HYPERLINK("#'Data'!A3866", "Households reporting risk of being evicted from their shelter broken down by rural / urban on the admin of macroregion perc")</f>
        <v>Households reporting risk of being evicted from their shelter broken down by rural / urban on the admin of macroregion perc</v>
      </c>
    </row>
    <row r="198" spans="1:5" x14ac:dyDescent="0.25">
      <c r="A198" t="s">
        <v>125</v>
      </c>
      <c r="B198" t="s">
        <v>132</v>
      </c>
      <c r="C198" t="s">
        <v>62</v>
      </c>
      <c r="D198">
        <v>336</v>
      </c>
      <c r="E198" t="str">
        <f>HYPERLINK("#'Data'!A3888", "Households reporting risk of being evicted from their shelter broken down by proximity to the Frontline / Russian border on the admin of macroregio...")</f>
        <v>Households reporting risk of being evicted from their shelter broken down by proximity to the Frontline / Russian border on the admin of macroregio...</v>
      </c>
    </row>
    <row r="199" spans="1:5" hidden="1" x14ac:dyDescent="0.25">
      <c r="A199" t="s">
        <v>125</v>
      </c>
      <c r="B199" t="s">
        <v>133</v>
      </c>
      <c r="C199" t="s">
        <v>35</v>
      </c>
      <c r="D199">
        <v>337</v>
      </c>
      <c r="E199" t="str">
        <f>HYPERLINK("#'Data'!A3914", "Households reporting shelter issues that were NOT caused by the war broken down by displacement status of HoH on the admin of macroregion perc")</f>
        <v>Households reporting shelter issues that were NOT caused by the war broken down by displacement status of HoH on the admin of macroregion perc</v>
      </c>
    </row>
    <row r="200" spans="1:5" hidden="1" x14ac:dyDescent="0.25">
      <c r="A200" t="s">
        <v>125</v>
      </c>
      <c r="B200" t="s">
        <v>133</v>
      </c>
      <c r="C200" t="s">
        <v>45</v>
      </c>
      <c r="D200">
        <v>338</v>
      </c>
      <c r="E200" t="str">
        <f>HYPERLINK("#'Data'!A3927", "Households reporting shelter issues that were NOT caused by the war broken down by rural / urban on the admin of macroregion perc")</f>
        <v>Households reporting shelter issues that were NOT caused by the war broken down by rural / urban on the admin of macroregion perc</v>
      </c>
    </row>
    <row r="201" spans="1:5" x14ac:dyDescent="0.25">
      <c r="A201" t="s">
        <v>125</v>
      </c>
      <c r="B201" t="s">
        <v>133</v>
      </c>
      <c r="C201" t="s">
        <v>62</v>
      </c>
      <c r="D201">
        <v>339</v>
      </c>
      <c r="E201" t="str">
        <f>HYPERLINK("#'Data'!A3949", "Households reporting shelter issues that were NOT caused by the war broken down by proximity to the Frontline / Russian border on the admin of macr...")</f>
        <v>Households reporting shelter issues that were NOT caused by the war broken down by proximity to the Frontline / Russian border on the admin of macr...</v>
      </c>
    </row>
    <row r="202" spans="1:5" hidden="1" x14ac:dyDescent="0.25">
      <c r="A202" t="s">
        <v>125</v>
      </c>
      <c r="B202" t="s">
        <v>134</v>
      </c>
      <c r="C202" t="s">
        <v>35</v>
      </c>
      <c r="D202">
        <v>340</v>
      </c>
      <c r="E202" t="str">
        <f>HYPERLINK("#'Data'!A3975", "Households reporting damage to their current shelter (caused by the war) broken down by displacement status of HoH on the admin of macroregion perc")</f>
        <v>Households reporting damage to their current shelter (caused by the war) broken down by displacement status of HoH on the admin of macroregion perc</v>
      </c>
    </row>
    <row r="203" spans="1:5" hidden="1" x14ac:dyDescent="0.25">
      <c r="A203" t="s">
        <v>125</v>
      </c>
      <c r="B203" t="s">
        <v>134</v>
      </c>
      <c r="C203" t="s">
        <v>45</v>
      </c>
      <c r="D203">
        <v>341</v>
      </c>
      <c r="E203" t="str">
        <f>HYPERLINK("#'Data'!A3988", "Households reporting damage to their current shelter (caused by the war) broken down by rural / urban on the admin of macroregion perc")</f>
        <v>Households reporting damage to their current shelter (caused by the war) broken down by rural / urban on the admin of macroregion perc</v>
      </c>
    </row>
    <row r="204" spans="1:5" x14ac:dyDescent="0.25">
      <c r="A204" t="s">
        <v>125</v>
      </c>
      <c r="B204" t="s">
        <v>134</v>
      </c>
      <c r="C204" t="s">
        <v>62</v>
      </c>
      <c r="D204">
        <v>342</v>
      </c>
      <c r="E204" t="str">
        <f>HYPERLINK("#'Data'!A4010", "Households reporting damage to their current shelter (caused by the war) broken down by proximity to the Frontline / Russian border on the admin of...")</f>
        <v>Households reporting damage to their current shelter (caused by the war) broken down by proximity to the Frontline / Russian border on the admin of...</v>
      </c>
    </row>
    <row r="205" spans="1:5" hidden="1" x14ac:dyDescent="0.25">
      <c r="A205" t="s">
        <v>125</v>
      </c>
      <c r="B205" t="s">
        <v>135</v>
      </c>
      <c r="C205" t="s">
        <v>35</v>
      </c>
      <c r="D205">
        <v>343</v>
      </c>
      <c r="E205" t="str">
        <f>HYPERLINK("#'Data'!A4036", "Households assessing shelter damage in their current shelter broken down by displacement status of HoH on the admin of macroregion perc")</f>
        <v>Households assessing shelter damage in their current shelter broken down by displacement status of HoH on the admin of macroregion perc</v>
      </c>
    </row>
    <row r="206" spans="1:5" hidden="1" x14ac:dyDescent="0.25">
      <c r="A206" t="s">
        <v>125</v>
      </c>
      <c r="B206" t="s">
        <v>135</v>
      </c>
      <c r="C206" t="s">
        <v>45</v>
      </c>
      <c r="D206">
        <v>344</v>
      </c>
      <c r="E206" t="str">
        <f>HYPERLINK("#'Data'!A4049", "Households assessing shelter damage in their current shelter broken down by rural / urban on the admin of macroregion perc")</f>
        <v>Households assessing shelter damage in their current shelter broken down by rural / urban on the admin of macroregion perc</v>
      </c>
    </row>
    <row r="207" spans="1:5" x14ac:dyDescent="0.25">
      <c r="A207" t="s">
        <v>125</v>
      </c>
      <c r="B207" t="s">
        <v>135</v>
      </c>
      <c r="C207" t="s">
        <v>62</v>
      </c>
      <c r="D207">
        <v>345</v>
      </c>
      <c r="E207" t="str">
        <f>HYPERLINK("#'Data'!A4070", "Households assessing shelter damage in their current shelter broken down by proximity to the Frontline / Russian border on the admin of macroregion...")</f>
        <v>Households assessing shelter damage in their current shelter broken down by proximity to the Frontline / Russian border on the admin of macroregion...</v>
      </c>
    </row>
    <row r="208" spans="1:5" hidden="1" x14ac:dyDescent="0.25">
      <c r="A208" t="s">
        <v>125</v>
      </c>
      <c r="B208" t="s">
        <v>136</v>
      </c>
      <c r="C208" t="s">
        <v>35</v>
      </c>
      <c r="D208">
        <v>346</v>
      </c>
      <c r="E208" t="str">
        <f>HYPERLINK("#'Data'!A4095", "Households reportedly experiencing issues while cooking broken down by displacement status of HoH on the admin of macroregion perc")</f>
        <v>Households reportedly experiencing issues while cooking broken down by displacement status of HoH on the admin of macroregion perc</v>
      </c>
    </row>
    <row r="209" spans="1:5" hidden="1" x14ac:dyDescent="0.25">
      <c r="A209" t="s">
        <v>125</v>
      </c>
      <c r="B209" t="s">
        <v>136</v>
      </c>
      <c r="C209" t="s">
        <v>45</v>
      </c>
      <c r="D209">
        <v>347</v>
      </c>
      <c r="E209" t="str">
        <f>HYPERLINK("#'Data'!A4108", "Households reportedly experiencing issues while cooking broken down by rural / urban on the admin of macroregion perc")</f>
        <v>Households reportedly experiencing issues while cooking broken down by rural / urban on the admin of macroregion perc</v>
      </c>
    </row>
    <row r="210" spans="1:5" x14ac:dyDescent="0.25">
      <c r="A210" t="s">
        <v>125</v>
      </c>
      <c r="B210" t="s">
        <v>136</v>
      </c>
      <c r="C210" t="s">
        <v>62</v>
      </c>
      <c r="D210">
        <v>348</v>
      </c>
      <c r="E210" t="str">
        <f>HYPERLINK("#'Data'!A4130", "Households reportedly experiencing issues while cooking broken down by proximity to the Frontline / Russian border on the admin of macroregion perc")</f>
        <v>Households reportedly experiencing issues while cooking broken down by proximity to the Frontline / Russian border on the admin of macroregion perc</v>
      </c>
    </row>
    <row r="211" spans="1:5" hidden="1" x14ac:dyDescent="0.25">
      <c r="A211" t="s">
        <v>125</v>
      </c>
      <c r="B211" t="s">
        <v>137</v>
      </c>
      <c r="C211" t="s">
        <v>35</v>
      </c>
      <c r="D211">
        <v>349</v>
      </c>
      <c r="E211" t="str">
        <f>HYPERLINK("#'Data'!A4156", "Households reportedly experiencing issues while sleeping broken down by displacement status of HoH on the admin of macroregion perc")</f>
        <v>Households reportedly experiencing issues while sleeping broken down by displacement status of HoH on the admin of macroregion perc</v>
      </c>
    </row>
    <row r="212" spans="1:5" hidden="1" x14ac:dyDescent="0.25">
      <c r="A212" t="s">
        <v>125</v>
      </c>
      <c r="B212" t="s">
        <v>137</v>
      </c>
      <c r="C212" t="s">
        <v>45</v>
      </c>
      <c r="D212">
        <v>350</v>
      </c>
      <c r="E212" t="str">
        <f>HYPERLINK("#'Data'!A4169", "Households reportedly experiencing issues while sleeping broken down by rural / urban on the admin of macroregion perc")</f>
        <v>Households reportedly experiencing issues while sleeping broken down by rural / urban on the admin of macroregion perc</v>
      </c>
    </row>
    <row r="213" spans="1:5" x14ac:dyDescent="0.25">
      <c r="A213" t="s">
        <v>125</v>
      </c>
      <c r="B213" t="s">
        <v>137</v>
      </c>
      <c r="C213" t="s">
        <v>62</v>
      </c>
      <c r="D213">
        <v>351</v>
      </c>
      <c r="E213" t="str">
        <f>HYPERLINK("#'Data'!A4191", "Households reportedly experiencing issues while sleeping broken down by proximity to the Frontline / Russian border on the admin of macroregion per...")</f>
        <v>Households reportedly experiencing issues while sleeping broken down by proximity to the Frontline / Russian border on the admin of macroregion per...</v>
      </c>
    </row>
    <row r="214" spans="1:5" hidden="1" x14ac:dyDescent="0.25">
      <c r="A214" t="s">
        <v>125</v>
      </c>
      <c r="B214" t="s">
        <v>138</v>
      </c>
      <c r="C214" t="s">
        <v>35</v>
      </c>
      <c r="D214">
        <v>352</v>
      </c>
      <c r="E214" t="str">
        <f>HYPERLINK("#'Data'!A4217", "Households reporting main heating source last winter broken down by displacement status of HoH on the admin of macroregion perc")</f>
        <v>Households reporting main heating source last winter broken down by displacement status of HoH on the admin of macroregion perc</v>
      </c>
    </row>
    <row r="215" spans="1:5" hidden="1" x14ac:dyDescent="0.25">
      <c r="A215" t="s">
        <v>125</v>
      </c>
      <c r="B215" t="s">
        <v>138</v>
      </c>
      <c r="C215" t="s">
        <v>35</v>
      </c>
      <c r="D215">
        <v>353</v>
      </c>
      <c r="E215" t="str">
        <f>HYPERLINK("#'Data'!A4230", "Households reporting main heating source last winter broken down by displacement status of HoH on the admin of macroregion perc")</f>
        <v>Households reporting main heating source last winter broken down by displacement status of HoH on the admin of macroregion perc</v>
      </c>
    </row>
    <row r="216" spans="1:5" hidden="1" x14ac:dyDescent="0.25">
      <c r="A216" t="s">
        <v>125</v>
      </c>
      <c r="B216" t="s">
        <v>138</v>
      </c>
      <c r="C216" t="s">
        <v>45</v>
      </c>
      <c r="D216">
        <v>354</v>
      </c>
      <c r="E216" t="str">
        <f>HYPERLINK("#'Data'!A4243", "Households reporting main heating source last winter broken down by rural / urban on the admin of macroregion perc")</f>
        <v>Households reporting main heating source last winter broken down by rural / urban on the admin of macroregion perc</v>
      </c>
    </row>
    <row r="217" spans="1:5" x14ac:dyDescent="0.25">
      <c r="A217" t="s">
        <v>125</v>
      </c>
      <c r="B217" t="s">
        <v>138</v>
      </c>
      <c r="C217" t="s">
        <v>62</v>
      </c>
      <c r="D217">
        <v>355</v>
      </c>
      <c r="E217" t="str">
        <f>HYPERLINK("#'Data'!A4265", "Households reporting main heating source last winter broken down by proximity to the Frontline / Russian border on the admin of macroregion perc")</f>
        <v>Households reporting main heating source last winter broken down by proximity to the Frontline / Russian border on the admin of macroregion perc</v>
      </c>
    </row>
    <row r="218" spans="1:5" hidden="1" x14ac:dyDescent="0.25">
      <c r="A218" t="s">
        <v>125</v>
      </c>
      <c r="B218" t="s">
        <v>139</v>
      </c>
      <c r="C218" t="s">
        <v>35</v>
      </c>
      <c r="D218">
        <v>356</v>
      </c>
      <c r="E218" t="str">
        <f>HYPERLINK("#'Data'!A4291", "Households reportedly experiencing issues while storing food broken down by displacement status of HoH on the admin of macroregion perc")</f>
        <v>Households reportedly experiencing issues while storing food broken down by displacement status of HoH on the admin of macroregion perc</v>
      </c>
    </row>
    <row r="219" spans="1:5" hidden="1" x14ac:dyDescent="0.25">
      <c r="A219" t="s">
        <v>125</v>
      </c>
      <c r="B219" t="s">
        <v>139</v>
      </c>
      <c r="C219" t="s">
        <v>45</v>
      </c>
      <c r="D219">
        <v>357</v>
      </c>
      <c r="E219" t="str">
        <f>HYPERLINK("#'Data'!A4304", "Households reportedly experiencing issues while storing food broken down by rural / urban on the admin of macroregion perc")</f>
        <v>Households reportedly experiencing issues while storing food broken down by rural / urban on the admin of macroregion perc</v>
      </c>
    </row>
    <row r="220" spans="1:5" x14ac:dyDescent="0.25">
      <c r="A220" t="s">
        <v>125</v>
      </c>
      <c r="B220" t="s">
        <v>139</v>
      </c>
      <c r="C220" t="s">
        <v>62</v>
      </c>
      <c r="D220">
        <v>358</v>
      </c>
      <c r="E220" t="str">
        <f>HYPERLINK("#'Data'!A4326", "Households reportedly experiencing issues while storing food broken down by proximity to the Frontline / Russian border on the admin of macroregion...")</f>
        <v>Households reportedly experiencing issues while storing food broken down by proximity to the Frontline / Russian border on the admin of macroregion...</v>
      </c>
    </row>
    <row r="221" spans="1:5" hidden="1" x14ac:dyDescent="0.25">
      <c r="A221" t="s">
        <v>125</v>
      </c>
      <c r="B221" t="s">
        <v>140</v>
      </c>
      <c r="C221" t="s">
        <v>35</v>
      </c>
      <c r="D221">
        <v>359</v>
      </c>
      <c r="E221" t="str">
        <f>HYPERLINK("#'Data'!A4352", "Households reportedly experiencing issues with electricity broken down by displacement status of HoH on the admin of macroregion perc")</f>
        <v>Households reportedly experiencing issues with electricity broken down by displacement status of HoH on the admin of macroregion perc</v>
      </c>
    </row>
    <row r="222" spans="1:5" hidden="1" x14ac:dyDescent="0.25">
      <c r="A222" t="s">
        <v>125</v>
      </c>
      <c r="B222" t="s">
        <v>140</v>
      </c>
      <c r="C222" t="s">
        <v>45</v>
      </c>
      <c r="D222">
        <v>360</v>
      </c>
      <c r="E222" t="str">
        <f>HYPERLINK("#'Data'!A4365", "Households reportedly experiencing issues with electricity broken down by rural / urban on the admin of macroregion perc")</f>
        <v>Households reportedly experiencing issues with electricity broken down by rural / urban on the admin of macroregion perc</v>
      </c>
    </row>
    <row r="223" spans="1:5" x14ac:dyDescent="0.25">
      <c r="A223" t="s">
        <v>125</v>
      </c>
      <c r="B223" t="s">
        <v>140</v>
      </c>
      <c r="C223" t="s">
        <v>62</v>
      </c>
      <c r="D223">
        <v>361</v>
      </c>
      <c r="E223" t="str">
        <f>HYPERLINK("#'Data'!A4387", "Households reportedly experiencing issues with electricity broken down by proximity to the Frontline / Russian border on the admin of macroregion p...")</f>
        <v>Households reportedly experiencing issues with electricity broken down by proximity to the Frontline / Russian border on the admin of macroregion p...</v>
      </c>
    </row>
    <row r="224" spans="1:5" hidden="1" x14ac:dyDescent="0.25">
      <c r="A224" t="s">
        <v>125</v>
      </c>
      <c r="B224" t="s">
        <v>141</v>
      </c>
      <c r="C224" t="s">
        <v>35</v>
      </c>
      <c r="D224">
        <v>362</v>
      </c>
      <c r="E224" t="str">
        <f>HYPERLINK("#'Data'!A4413", "Households reportedly experiencing utility interruptions broken down by displacement status of HoH on the admin of macroregion perc")</f>
        <v>Households reportedly experiencing utility interruptions broken down by displacement status of HoH on the admin of macroregion perc</v>
      </c>
    </row>
    <row r="225" spans="1:5" hidden="1" x14ac:dyDescent="0.25">
      <c r="A225" t="s">
        <v>125</v>
      </c>
      <c r="B225" t="s">
        <v>141</v>
      </c>
      <c r="C225" t="s">
        <v>45</v>
      </c>
      <c r="D225">
        <v>363</v>
      </c>
      <c r="E225" t="str">
        <f>HYPERLINK("#'Data'!A4426", "Households reportedly experiencing utility interruptions broken down by rural / urban on the admin of macroregion perc")</f>
        <v>Households reportedly experiencing utility interruptions broken down by rural / urban on the admin of macroregion perc</v>
      </c>
    </row>
    <row r="226" spans="1:5" x14ac:dyDescent="0.25">
      <c r="A226" t="s">
        <v>125</v>
      </c>
      <c r="B226" t="s">
        <v>141</v>
      </c>
      <c r="C226" t="s">
        <v>62</v>
      </c>
      <c r="D226">
        <v>364</v>
      </c>
      <c r="E226" t="str">
        <f>HYPERLINK("#'Data'!A4448", "Households reportedly experiencing utility interruptions broken down by proximity to the Frontline / Russian border on the admin of macroregion per...")</f>
        <v>Households reportedly experiencing utility interruptions broken down by proximity to the Frontline / Russian border on the admin of macroregion per...</v>
      </c>
    </row>
    <row r="227" spans="1:5" hidden="1" x14ac:dyDescent="0.25">
      <c r="A227" t="s">
        <v>125</v>
      </c>
      <c r="B227" t="s">
        <v>142</v>
      </c>
      <c r="C227" t="s">
        <v>35</v>
      </c>
      <c r="D227">
        <v>365</v>
      </c>
      <c r="E227" t="str">
        <f>HYPERLINK("#'Data'!A4474", "Households reportedly having alternative energy sources  broken down by displacement status of HoH on the admin of macroregion perc")</f>
        <v>Households reportedly having alternative energy sources  broken down by displacement status of HoH on the admin of macroregion perc</v>
      </c>
    </row>
    <row r="228" spans="1:5" hidden="1" x14ac:dyDescent="0.25">
      <c r="A228" t="s">
        <v>125</v>
      </c>
      <c r="B228" t="s">
        <v>142</v>
      </c>
      <c r="C228" t="s">
        <v>45</v>
      </c>
      <c r="D228">
        <v>366</v>
      </c>
      <c r="E228" t="str">
        <f>HYPERLINK("#'Data'!A4487", "Households reportedly having alternative energy sources  broken down by rural / urban on the admin of macroregion perc")</f>
        <v>Households reportedly having alternative energy sources  broken down by rural / urban on the admin of macroregion perc</v>
      </c>
    </row>
    <row r="229" spans="1:5" x14ac:dyDescent="0.25">
      <c r="A229" t="s">
        <v>125</v>
      </c>
      <c r="B229" t="s">
        <v>142</v>
      </c>
      <c r="C229" t="s">
        <v>62</v>
      </c>
      <c r="D229">
        <v>367</v>
      </c>
      <c r="E229" t="str">
        <f>HYPERLINK("#'Data'!A4509", "Households reportedly having alternative energy sources  broken down by proximity to the Frontline / Russian border on the admin of macroregion per...")</f>
        <v>Households reportedly having alternative energy sources  broken down by proximity to the Frontline / Russian border on the admin of macroregion per...</v>
      </c>
    </row>
    <row r="230" spans="1:5" hidden="1" x14ac:dyDescent="0.25">
      <c r="A230" t="s">
        <v>125</v>
      </c>
      <c r="B230" t="s">
        <v>143</v>
      </c>
      <c r="C230" t="s">
        <v>35</v>
      </c>
      <c r="D230">
        <v>368</v>
      </c>
      <c r="E230" t="str">
        <f>HYPERLINK("#'Data'!A4535", "Households reportedly having access to the Internet broken down by displacement status of HoH on the admin of macroregion perc")</f>
        <v>Households reportedly having access to the Internet broken down by displacement status of HoH on the admin of macroregion perc</v>
      </c>
    </row>
    <row r="231" spans="1:5" hidden="1" x14ac:dyDescent="0.25">
      <c r="A231" t="s">
        <v>125</v>
      </c>
      <c r="B231" t="s">
        <v>143</v>
      </c>
      <c r="C231" t="s">
        <v>45</v>
      </c>
      <c r="D231">
        <v>369</v>
      </c>
      <c r="E231" t="str">
        <f>HYPERLINK("#'Data'!A4548", "Households reportedly having access to the Internet broken down by rural / urban on the admin of macroregion perc")</f>
        <v>Households reportedly having access to the Internet broken down by rural / urban on the admin of macroregion perc</v>
      </c>
    </row>
    <row r="232" spans="1:5" x14ac:dyDescent="0.25">
      <c r="A232" t="s">
        <v>125</v>
      </c>
      <c r="B232" t="s">
        <v>143</v>
      </c>
      <c r="C232" t="s">
        <v>62</v>
      </c>
      <c r="D232">
        <v>370</v>
      </c>
      <c r="E232" t="str">
        <f>HYPERLINK("#'Data'!A4570", "Households reportedly having access to the Internet broken down by proximity to the Frontline / Russian border on the admin of macroregion perc")</f>
        <v>Households reportedly having access to the Internet broken down by proximity to the Frontline / Russian border on the admin of macroregion perc</v>
      </c>
    </row>
    <row r="233" spans="1:5" hidden="1" x14ac:dyDescent="0.25">
      <c r="A233" t="s">
        <v>125</v>
      </c>
      <c r="B233" t="s">
        <v>144</v>
      </c>
      <c r="C233" t="s">
        <v>35</v>
      </c>
      <c r="D233">
        <v>371</v>
      </c>
      <c r="E233" t="str">
        <f>HYPERLINK("#'Data'!A4596", "Households reporting main source of access to the Internet broken down by displacement status of HoH on the admin of macroregion perc")</f>
        <v>Households reporting main source of access to the Internet broken down by displacement status of HoH on the admin of macroregion perc</v>
      </c>
    </row>
    <row r="234" spans="1:5" hidden="1" x14ac:dyDescent="0.25">
      <c r="A234" t="s">
        <v>125</v>
      </c>
      <c r="B234" t="s">
        <v>144</v>
      </c>
      <c r="C234" t="s">
        <v>45</v>
      </c>
      <c r="D234">
        <v>372</v>
      </c>
      <c r="E234" t="str">
        <f>HYPERLINK("#'Data'!A4609", "Households reporting main source of access to the Internet broken down by rural / urban on the admin of macroregion perc")</f>
        <v>Households reporting main source of access to the Internet broken down by rural / urban on the admin of macroregion perc</v>
      </c>
    </row>
    <row r="235" spans="1:5" x14ac:dyDescent="0.25">
      <c r="A235" t="s">
        <v>125</v>
      </c>
      <c r="B235" t="s">
        <v>144</v>
      </c>
      <c r="C235" t="s">
        <v>62</v>
      </c>
      <c r="D235">
        <v>373</v>
      </c>
      <c r="E235" t="str">
        <f>HYPERLINK("#'Data'!A4631", "Households reporting main source of access to the Internet broken down by proximity to the Frontline / Russian border on the admin of macroregion p...")</f>
        <v>Households reporting main source of access to the Internet broken down by proximity to the Frontline / Russian border on the admin of macroregion p...</v>
      </c>
    </row>
    <row r="236" spans="1:5" hidden="1" x14ac:dyDescent="0.25">
      <c r="A236" t="s">
        <v>125</v>
      </c>
      <c r="B236" t="s">
        <v>145</v>
      </c>
      <c r="C236" t="s">
        <v>35</v>
      </c>
      <c r="D236">
        <v>374</v>
      </c>
      <c r="E236" t="str">
        <f>HYPERLINK("#'Data'!A4657", "Households reporting distance to the nearest bomb shelter broken down by displacement status of HoH on the admin of macroregion perc")</f>
        <v>Households reporting distance to the nearest bomb shelter broken down by displacement status of HoH on the admin of macroregion perc</v>
      </c>
    </row>
    <row r="237" spans="1:5" hidden="1" x14ac:dyDescent="0.25">
      <c r="A237" t="s">
        <v>125</v>
      </c>
      <c r="B237" t="s">
        <v>145</v>
      </c>
      <c r="C237" t="s">
        <v>45</v>
      </c>
      <c r="D237">
        <v>375</v>
      </c>
      <c r="E237" t="str">
        <f>HYPERLINK("#'Data'!A4670", "Households reporting distance to the nearest bomb shelter broken down by rural / urban on the admin of macroregion perc")</f>
        <v>Households reporting distance to the nearest bomb shelter broken down by rural / urban on the admin of macroregion perc</v>
      </c>
    </row>
    <row r="238" spans="1:5" x14ac:dyDescent="0.25">
      <c r="A238" t="s">
        <v>125</v>
      </c>
      <c r="B238" t="s">
        <v>145</v>
      </c>
      <c r="C238" t="s">
        <v>62</v>
      </c>
      <c r="D238">
        <v>376</v>
      </c>
      <c r="E238" t="str">
        <f>HYPERLINK("#'Data'!A4692", "Households reporting distance to the nearest bomb shelter broken down by proximity to the Frontline / Russian border on the admin of macroregion pe...")</f>
        <v>Households reporting distance to the nearest bomb shelter broken down by proximity to the Frontline / Russian border on the admin of macroregion pe...</v>
      </c>
    </row>
    <row r="239" spans="1:5" hidden="1" x14ac:dyDescent="0.25">
      <c r="A239" t="s">
        <v>125</v>
      </c>
      <c r="B239" t="s">
        <v>146</v>
      </c>
      <c r="C239" t="s">
        <v>35</v>
      </c>
      <c r="D239">
        <v>377</v>
      </c>
      <c r="E239" t="str">
        <f>HYPERLINK("#'Data'!A4718", "Households reporting damage to the shelter in their area of origin (for IDP members) broken down by displacement status of HoH on the admin of macr...")</f>
        <v>Households reporting damage to the shelter in their area of origin (for IDP members) broken down by displacement status of HoH on the admin of macr...</v>
      </c>
    </row>
    <row r="240" spans="1:5" hidden="1" x14ac:dyDescent="0.25">
      <c r="A240" t="s">
        <v>125</v>
      </c>
      <c r="B240" t="s">
        <v>146</v>
      </c>
      <c r="C240" t="s">
        <v>45</v>
      </c>
      <c r="D240">
        <v>378</v>
      </c>
      <c r="E240" t="str">
        <f>HYPERLINK("#'Data'!A4731", "Households reporting damage to the shelter in their area of origin (for IDP members) broken down by rural / urban on the admin of macroregion perc")</f>
        <v>Households reporting damage to the shelter in their area of origin (for IDP members) broken down by rural / urban on the admin of macroregion perc</v>
      </c>
    </row>
    <row r="241" spans="1:5" x14ac:dyDescent="0.25">
      <c r="A241" t="s">
        <v>125</v>
      </c>
      <c r="B241" t="s">
        <v>146</v>
      </c>
      <c r="C241" t="s">
        <v>62</v>
      </c>
      <c r="D241">
        <v>379</v>
      </c>
      <c r="E241" t="str">
        <f>HYPERLINK("#'Data'!A4753", "Households reporting damage to the shelter in their area of origin (for IDP members) broken down by proximity to the Frontline / Russian border on ...")</f>
        <v>Households reporting damage to the shelter in their area of origin (for IDP members) broken down by proximity to the Frontline / Russian border on ...</v>
      </c>
    </row>
    <row r="242" spans="1:5" hidden="1" x14ac:dyDescent="0.25">
      <c r="A242" t="s">
        <v>125</v>
      </c>
      <c r="B242" t="s">
        <v>147</v>
      </c>
      <c r="C242" t="s">
        <v>35</v>
      </c>
      <c r="D242">
        <v>380</v>
      </c>
      <c r="E242" t="str">
        <f>HYPERLINK("#'Data'!A4779", "Households assessing shelter damage in their shelter in area of origin broken down by displacement status of HoH on the admin of macroregion perc")</f>
        <v>Households assessing shelter damage in their shelter in area of origin broken down by displacement status of HoH on the admin of macroregion perc</v>
      </c>
    </row>
    <row r="243" spans="1:5" hidden="1" x14ac:dyDescent="0.25">
      <c r="A243" t="s">
        <v>125</v>
      </c>
      <c r="B243" t="s">
        <v>147</v>
      </c>
      <c r="C243" t="s">
        <v>45</v>
      </c>
      <c r="D243">
        <v>381</v>
      </c>
      <c r="E243" t="str">
        <f>HYPERLINK("#'Data'!A4792", "Households assessing shelter damage in their shelter in area of origin broken down by rural / urban on the admin of macroregion perc")</f>
        <v>Households assessing shelter damage in their shelter in area of origin broken down by rural / urban on the admin of macroregion perc</v>
      </c>
    </row>
    <row r="244" spans="1:5" x14ac:dyDescent="0.25">
      <c r="A244" t="s">
        <v>125</v>
      </c>
      <c r="B244" t="s">
        <v>147</v>
      </c>
      <c r="C244" t="s">
        <v>62</v>
      </c>
      <c r="D244">
        <v>382</v>
      </c>
      <c r="E244" t="str">
        <f>HYPERLINK("#'Data'!A4813", "Households assessing shelter damage in their shelter in area of origin broken down by proximity to the Frontline / Russian border on the admin of m...")</f>
        <v>Households assessing shelter damage in their shelter in area of origin broken down by proximity to the Frontline / Russian border on the admin of m...</v>
      </c>
    </row>
    <row r="245" spans="1:5" hidden="1" x14ac:dyDescent="0.25">
      <c r="A245" t="s">
        <v>148</v>
      </c>
      <c r="B245" t="s">
        <v>149</v>
      </c>
      <c r="C245" t="s">
        <v>35</v>
      </c>
      <c r="D245">
        <v>383</v>
      </c>
      <c r="E245" t="str">
        <f>HYPERLINK("#'Data'!A4838", "Households reporting their main source of drinking water broken down by displacement status of HoH on the admin of macroregion perc")</f>
        <v>Households reporting their main source of drinking water broken down by displacement status of HoH on the admin of macroregion perc</v>
      </c>
    </row>
    <row r="246" spans="1:5" hidden="1" x14ac:dyDescent="0.25">
      <c r="A246" t="s">
        <v>148</v>
      </c>
      <c r="B246" t="s">
        <v>149</v>
      </c>
      <c r="C246" t="s">
        <v>45</v>
      </c>
      <c r="D246">
        <v>384</v>
      </c>
      <c r="E246" t="str">
        <f>HYPERLINK("#'Data'!A4851", "Households reporting their main source of drinking water broken down by rural / urban on the admin of macroregion perc")</f>
        <v>Households reporting their main source of drinking water broken down by rural / urban on the admin of macroregion perc</v>
      </c>
    </row>
    <row r="247" spans="1:5" x14ac:dyDescent="0.25">
      <c r="A247" t="s">
        <v>148</v>
      </c>
      <c r="B247" t="s">
        <v>149</v>
      </c>
      <c r="C247" t="s">
        <v>62</v>
      </c>
      <c r="D247">
        <v>385</v>
      </c>
      <c r="E247" t="str">
        <f>HYPERLINK("#'Data'!A4873", "Households reporting their main source of drinking water broken down by proximity to the Frontline / Russian border on the admin of macroregion per...")</f>
        <v>Households reporting their main source of drinking water broken down by proximity to the Frontline / Russian border on the admin of macroregion per...</v>
      </c>
    </row>
    <row r="248" spans="1:5" hidden="1" x14ac:dyDescent="0.25">
      <c r="A248" t="s">
        <v>148</v>
      </c>
      <c r="B248" t="s">
        <v>150</v>
      </c>
      <c r="C248" t="s">
        <v>35</v>
      </c>
      <c r="D248">
        <v>386</v>
      </c>
      <c r="E248" t="str">
        <f>HYPERLINK("#'Data'!A4899", "Time reported by Households to Fetch Water from Main Source of Water used for Drinking overall broken down by displacement status of HoH on the adm...")</f>
        <v>Time reported by Households to Fetch Water from Main Source of Water used for Drinking overall broken down by displacement status of HoH on the adm...</v>
      </c>
    </row>
    <row r="249" spans="1:5" hidden="1" x14ac:dyDescent="0.25">
      <c r="A249" t="s">
        <v>148</v>
      </c>
      <c r="B249" t="s">
        <v>150</v>
      </c>
      <c r="C249" t="s">
        <v>45</v>
      </c>
      <c r="D249">
        <v>387</v>
      </c>
      <c r="E249" t="str">
        <f>HYPERLINK("#'Data'!A4912", "Time reported by Households to Fetch Water from Main Source of Water used for Drinking overall broken down by rural / urban on the admin of macrore...")</f>
        <v>Time reported by Households to Fetch Water from Main Source of Water used for Drinking overall broken down by rural / urban on the admin of macrore...</v>
      </c>
    </row>
    <row r="250" spans="1:5" x14ac:dyDescent="0.25">
      <c r="A250" t="s">
        <v>148</v>
      </c>
      <c r="B250" t="s">
        <v>150</v>
      </c>
      <c r="C250" t="s">
        <v>62</v>
      </c>
      <c r="D250">
        <v>388</v>
      </c>
      <c r="E250" t="str">
        <f>HYPERLINK("#'Data'!A4934", "Time reported by Households to Fetch Water from Main Source of Water used for Drinking overall broken down by proximity to the Frontline / Russian ...")</f>
        <v>Time reported by Households to Fetch Water from Main Source of Water used for Drinking overall broken down by proximity to the Frontline / Russian ...</v>
      </c>
    </row>
    <row r="251" spans="1:5" hidden="1" x14ac:dyDescent="0.25">
      <c r="A251" t="s">
        <v>148</v>
      </c>
      <c r="B251" t="s">
        <v>151</v>
      </c>
      <c r="C251" t="s">
        <v>35</v>
      </c>
      <c r="D251">
        <v>389</v>
      </c>
      <c r="E251" t="str">
        <f>HYPERLINK("#'Data'!A4960", "Households assessing drinking water from their main source broken down by displacement status of HoH on the admin of macroregion perc")</f>
        <v>Households assessing drinking water from their main source broken down by displacement status of HoH on the admin of macroregion perc</v>
      </c>
    </row>
    <row r="252" spans="1:5" hidden="1" x14ac:dyDescent="0.25">
      <c r="A252" t="s">
        <v>148</v>
      </c>
      <c r="B252" t="s">
        <v>151</v>
      </c>
      <c r="C252" t="s">
        <v>45</v>
      </c>
      <c r="D252">
        <v>390</v>
      </c>
      <c r="E252" t="str">
        <f>HYPERLINK("#'Data'!A4973", "Households assessing drinking water from their main source broken down by rural / urban on the admin of macroregion perc")</f>
        <v>Households assessing drinking water from their main source broken down by rural / urban on the admin of macroregion perc</v>
      </c>
    </row>
    <row r="253" spans="1:5" x14ac:dyDescent="0.25">
      <c r="A253" t="s">
        <v>148</v>
      </c>
      <c r="B253" t="s">
        <v>151</v>
      </c>
      <c r="C253" t="s">
        <v>62</v>
      </c>
      <c r="D253">
        <v>391</v>
      </c>
      <c r="E253" t="str">
        <f>HYPERLINK("#'Data'!A4995", "Households assessing drinking water from their main source broken down by proximity to the Frontline / Russian border on the admin of macroregion p...")</f>
        <v>Households assessing drinking water from their main source broken down by proximity to the Frontline / Russian border on the admin of macroregion p...</v>
      </c>
    </row>
    <row r="254" spans="1:5" hidden="1" x14ac:dyDescent="0.25">
      <c r="A254" t="s">
        <v>148</v>
      </c>
      <c r="B254" t="s">
        <v>152</v>
      </c>
      <c r="C254" t="s">
        <v>35</v>
      </c>
      <c r="D254">
        <v>392</v>
      </c>
      <c r="E254" t="str">
        <f>HYPERLINK("#'Data'!A5021", "Households reportedly treating drinking water from their main source broken down by displacement status of HoH on the admin of macroregion perc")</f>
        <v>Households reportedly treating drinking water from their main source broken down by displacement status of HoH on the admin of macroregion perc</v>
      </c>
    </row>
    <row r="255" spans="1:5" hidden="1" x14ac:dyDescent="0.25">
      <c r="A255" t="s">
        <v>148</v>
      </c>
      <c r="B255" t="s">
        <v>152</v>
      </c>
      <c r="C255" t="s">
        <v>45</v>
      </c>
      <c r="D255">
        <v>393</v>
      </c>
      <c r="E255" t="str">
        <f>HYPERLINK("#'Data'!A5034", "Households reportedly treating drinking water from their main source broken down by rural / urban on the admin of macroregion perc")</f>
        <v>Households reportedly treating drinking water from their main source broken down by rural / urban on the admin of macroregion perc</v>
      </c>
    </row>
    <row r="256" spans="1:5" x14ac:dyDescent="0.25">
      <c r="A256" t="s">
        <v>148</v>
      </c>
      <c r="B256" t="s">
        <v>152</v>
      </c>
      <c r="C256" t="s">
        <v>62</v>
      </c>
      <c r="D256">
        <v>394</v>
      </c>
      <c r="E256" t="str">
        <f>HYPERLINK("#'Data'!A5056", "Households reportedly treating drinking water from their main source broken down by proximity to the Frontline / Russian border on the admin of mac...")</f>
        <v>Households reportedly treating drinking water from their main source broken down by proximity to the Frontline / Russian border on the admin of mac...</v>
      </c>
    </row>
    <row r="257" spans="1:5" hidden="1" x14ac:dyDescent="0.25">
      <c r="A257" t="s">
        <v>148</v>
      </c>
      <c r="B257" t="s">
        <v>153</v>
      </c>
      <c r="C257" t="s">
        <v>35</v>
      </c>
      <c r="D257">
        <v>395</v>
      </c>
      <c r="E257" t="str">
        <f>HYPERLINK("#'Data'!A5082", "Households reporting days without sufficient drinking water in the last 4 weeks broken down by displacement status of HoH on the admin of macroregi...")</f>
        <v>Households reporting days without sufficient drinking water in the last 4 weeks broken down by displacement status of HoH on the admin of macroregi...</v>
      </c>
    </row>
    <row r="258" spans="1:5" hidden="1" x14ac:dyDescent="0.25">
      <c r="A258" t="s">
        <v>148</v>
      </c>
      <c r="B258" t="s">
        <v>153</v>
      </c>
      <c r="C258" t="s">
        <v>45</v>
      </c>
      <c r="D258">
        <v>396</v>
      </c>
      <c r="E258" t="str">
        <f>HYPERLINK("#'Data'!A5095", "Households reporting days without sufficient drinking water in the last 4 weeks broken down by rural / urban on the admin of macroregion mean")</f>
        <v>Households reporting days without sufficient drinking water in the last 4 weeks broken down by rural / urban on the admin of macroregion mean</v>
      </c>
    </row>
    <row r="259" spans="1:5" x14ac:dyDescent="0.25">
      <c r="A259" t="s">
        <v>148</v>
      </c>
      <c r="B259" t="s">
        <v>153</v>
      </c>
      <c r="C259" t="s">
        <v>62</v>
      </c>
      <c r="D259">
        <v>397</v>
      </c>
      <c r="E259" t="str">
        <f>HYPERLINK("#'Data'!A5117", "Households reporting days without sufficient drinking water in the last 4 weeks broken down by proximity to the Frontline / Russian border on the a...")</f>
        <v>Households reporting days without sufficient drinking water in the last 4 weeks broken down by proximity to the Frontline / Russian border on the a...</v>
      </c>
    </row>
    <row r="260" spans="1:5" hidden="1" x14ac:dyDescent="0.25">
      <c r="A260" t="s">
        <v>148</v>
      </c>
      <c r="B260" t="s">
        <v>154</v>
      </c>
      <c r="C260" t="s">
        <v>35</v>
      </c>
      <c r="D260">
        <v>398</v>
      </c>
      <c r="E260" t="str">
        <f>HYPERLINK("#'Data'!A5143", "Households reporting sources of water for domestic purposes broken down by displacement status of HoH on the admin of macroregion perc")</f>
        <v>Households reporting sources of water for domestic purposes broken down by displacement status of HoH on the admin of macroregion perc</v>
      </c>
    </row>
    <row r="261" spans="1:5" hidden="1" x14ac:dyDescent="0.25">
      <c r="A261" t="s">
        <v>148</v>
      </c>
      <c r="B261" t="s">
        <v>154</v>
      </c>
      <c r="C261" t="s">
        <v>45</v>
      </c>
      <c r="D261">
        <v>399</v>
      </c>
      <c r="E261" t="str">
        <f>HYPERLINK("#'Data'!A5156", "Households reporting sources of water for domestic purposes broken down by rural / urban on the admin of macroregion perc")</f>
        <v>Households reporting sources of water for domestic purposes broken down by rural / urban on the admin of macroregion perc</v>
      </c>
    </row>
    <row r="262" spans="1:5" x14ac:dyDescent="0.25">
      <c r="A262" t="s">
        <v>148</v>
      </c>
      <c r="B262" t="s">
        <v>154</v>
      </c>
      <c r="C262" t="s">
        <v>62</v>
      </c>
      <c r="D262">
        <v>400</v>
      </c>
      <c r="E262" t="str">
        <f>HYPERLINK("#'Data'!A5178", "Households reporting sources of water for domestic purposes broken down by proximity to the Frontline / Russian border on the admin of macroregion ...")</f>
        <v>Households reporting sources of water for domestic purposes broken down by proximity to the Frontline / Russian border on the admin of macroregion ...</v>
      </c>
    </row>
    <row r="263" spans="1:5" hidden="1" x14ac:dyDescent="0.25">
      <c r="A263" t="s">
        <v>148</v>
      </c>
      <c r="B263" t="s">
        <v>155</v>
      </c>
      <c r="C263" t="s">
        <v>35</v>
      </c>
      <c r="D263">
        <v>401</v>
      </c>
      <c r="E263" t="str">
        <f>HYPERLINK("#'Data'!A5204", "Households reporting having enough water for technical needs broken down by displacement status of HoH on the admin of macroregion perc")</f>
        <v>Households reporting having enough water for technical needs broken down by displacement status of HoH on the admin of macroregion perc</v>
      </c>
    </row>
    <row r="264" spans="1:5" hidden="1" x14ac:dyDescent="0.25">
      <c r="A264" t="s">
        <v>148</v>
      </c>
      <c r="B264" t="s">
        <v>155</v>
      </c>
      <c r="C264" t="s">
        <v>45</v>
      </c>
      <c r="D264">
        <v>402</v>
      </c>
      <c r="E264" t="str">
        <f>HYPERLINK("#'Data'!A5217", "Households reporting having enough water for technical needs broken down by rural / urban on the admin of macroregion perc")</f>
        <v>Households reporting having enough water for technical needs broken down by rural / urban on the admin of macroregion perc</v>
      </c>
    </row>
    <row r="265" spans="1:5" x14ac:dyDescent="0.25">
      <c r="A265" t="s">
        <v>148</v>
      </c>
      <c r="B265" t="s">
        <v>155</v>
      </c>
      <c r="C265" t="s">
        <v>62</v>
      </c>
      <c r="D265">
        <v>403</v>
      </c>
      <c r="E265" t="str">
        <f>HYPERLINK("#'Data'!A5239", "Households reporting having enough water for technical needs broken down by proximity to the Frontline / Russian border on the admin of macroregion...")</f>
        <v>Households reporting having enough water for technical needs broken down by proximity to the Frontline / Russian border on the admin of macroregion...</v>
      </c>
    </row>
    <row r="266" spans="1:5" hidden="1" x14ac:dyDescent="0.25">
      <c r="A266" t="s">
        <v>148</v>
      </c>
      <c r="B266" t="s">
        <v>156</v>
      </c>
      <c r="C266" t="s">
        <v>35</v>
      </c>
      <c r="D266">
        <v>404</v>
      </c>
      <c r="E266" t="str">
        <f>HYPERLINK("#'Data'!A5265", "Households reportedly having issues with performing personal hygiene broken down by displacement status of HoH on the admin of macroregion perc")</f>
        <v>Households reportedly having issues with performing personal hygiene broken down by displacement status of HoH on the admin of macroregion perc</v>
      </c>
    </row>
    <row r="267" spans="1:5" hidden="1" x14ac:dyDescent="0.25">
      <c r="A267" t="s">
        <v>148</v>
      </c>
      <c r="B267" t="s">
        <v>156</v>
      </c>
      <c r="C267" t="s">
        <v>45</v>
      </c>
      <c r="D267">
        <v>405</v>
      </c>
      <c r="E267" t="str">
        <f>HYPERLINK("#'Data'!A5278", "Households reportedly having issues with performing personal hygiene broken down by rural / urban on the admin of macroregion perc")</f>
        <v>Households reportedly having issues with performing personal hygiene broken down by rural / urban on the admin of macroregion perc</v>
      </c>
    </row>
    <row r="268" spans="1:5" x14ac:dyDescent="0.25">
      <c r="A268" t="s">
        <v>148</v>
      </c>
      <c r="B268" t="s">
        <v>156</v>
      </c>
      <c r="C268" t="s">
        <v>62</v>
      </c>
      <c r="D268">
        <v>406</v>
      </c>
      <c r="E268" t="str">
        <f>HYPERLINK("#'Data'!A5300", "Households reportedly having issues with performing personal hygiene broken down by proximity to the Frontline / Russian border on the admin of mac...")</f>
        <v>Households reportedly having issues with performing personal hygiene broken down by proximity to the Frontline / Russian border on the admin of mac...</v>
      </c>
    </row>
    <row r="269" spans="1:5" hidden="1" x14ac:dyDescent="0.25">
      <c r="A269" t="s">
        <v>148</v>
      </c>
      <c r="B269" t="s">
        <v>157</v>
      </c>
      <c r="C269" t="s">
        <v>35</v>
      </c>
      <c r="D269">
        <v>407</v>
      </c>
      <c r="E269" t="str">
        <f>HYPERLINK("#'Data'!A5326", "Reasons why households reported issues with performing personal hygiene broken down by displacement status of HoH on the admin of macroregion perc")</f>
        <v>Reasons why households reported issues with performing personal hygiene broken down by displacement status of HoH on the admin of macroregion perc</v>
      </c>
    </row>
    <row r="270" spans="1:5" hidden="1" x14ac:dyDescent="0.25">
      <c r="A270" t="s">
        <v>148</v>
      </c>
      <c r="B270" t="s">
        <v>157</v>
      </c>
      <c r="C270" t="s">
        <v>45</v>
      </c>
      <c r="D270">
        <v>408</v>
      </c>
      <c r="E270" t="str">
        <f>HYPERLINK("#'Data'!A5339", "Reasons why households reported issues with performing personal hygiene broken down by rural / urban on the admin of macroregion perc")</f>
        <v>Reasons why households reported issues with performing personal hygiene broken down by rural / urban on the admin of macroregion perc</v>
      </c>
    </row>
    <row r="271" spans="1:5" x14ac:dyDescent="0.25">
      <c r="A271" t="s">
        <v>148</v>
      </c>
      <c r="B271" t="s">
        <v>157</v>
      </c>
      <c r="C271" t="s">
        <v>62</v>
      </c>
      <c r="D271">
        <v>409</v>
      </c>
      <c r="E271" t="str">
        <f>HYPERLINK("#'Data'!A5361", "Reasons why households reported issues with performing personal hygiene broken down by proximity to the Frontline / Russian border on the admin of ...")</f>
        <v>Reasons why households reported issues with performing personal hygiene broken down by proximity to the Frontline / Russian border on the admin of ...</v>
      </c>
    </row>
    <row r="272" spans="1:5" hidden="1" x14ac:dyDescent="0.25">
      <c r="A272" t="s">
        <v>148</v>
      </c>
      <c r="B272" t="s">
        <v>158</v>
      </c>
      <c r="C272" t="s">
        <v>35</v>
      </c>
      <c r="D272">
        <v>410</v>
      </c>
      <c r="E272" t="str">
        <f>HYPERLINK("#'Data'!A5387", "Main handwashing facilities reported by households broken down by displacement status of HoH on the admin of macroregion perc")</f>
        <v>Main handwashing facilities reported by households broken down by displacement status of HoH on the admin of macroregion perc</v>
      </c>
    </row>
    <row r="273" spans="1:5" hidden="1" x14ac:dyDescent="0.25">
      <c r="A273" t="s">
        <v>148</v>
      </c>
      <c r="B273" t="s">
        <v>158</v>
      </c>
      <c r="C273" t="s">
        <v>45</v>
      </c>
      <c r="D273">
        <v>411</v>
      </c>
      <c r="E273" t="str">
        <f>HYPERLINK("#'Data'!A5400", "Main handwashing facilities reported by households broken down by rural / urban on the admin of macroregion perc")</f>
        <v>Main handwashing facilities reported by households broken down by rural / urban on the admin of macroregion perc</v>
      </c>
    </row>
    <row r="274" spans="1:5" x14ac:dyDescent="0.25">
      <c r="A274" t="s">
        <v>148</v>
      </c>
      <c r="B274" t="s">
        <v>158</v>
      </c>
      <c r="C274" t="s">
        <v>62</v>
      </c>
      <c r="D274">
        <v>412</v>
      </c>
      <c r="E274" t="str">
        <f>HYPERLINK("#'Data'!A5422", "Main handwashing facilities reported by households broken down by proximity to the Frontline / Russian border on the admin of macroregion perc")</f>
        <v>Main handwashing facilities reported by households broken down by proximity to the Frontline / Russian border on the admin of macroregion perc</v>
      </c>
    </row>
    <row r="275" spans="1:5" hidden="1" x14ac:dyDescent="0.25">
      <c r="A275" t="s">
        <v>148</v>
      </c>
      <c r="B275" t="s">
        <v>159</v>
      </c>
      <c r="C275" t="s">
        <v>35</v>
      </c>
      <c r="D275">
        <v>413</v>
      </c>
      <c r="E275" t="str">
        <f>HYPERLINK("#'Data'!A5448", "Households reportedly having soap in their household broken down by displacement status of HoH on the admin of macroregion perc")</f>
        <v>Households reportedly having soap in their household broken down by displacement status of HoH on the admin of macroregion perc</v>
      </c>
    </row>
    <row r="276" spans="1:5" hidden="1" x14ac:dyDescent="0.25">
      <c r="A276" t="s">
        <v>148</v>
      </c>
      <c r="B276" t="s">
        <v>159</v>
      </c>
      <c r="C276" t="s">
        <v>45</v>
      </c>
      <c r="D276">
        <v>414</v>
      </c>
      <c r="E276" t="str">
        <f>HYPERLINK("#'Data'!A5461", "Households reportedly having soap in their household broken down by rural / urban on the admin of macroregion perc")</f>
        <v>Households reportedly having soap in their household broken down by rural / urban on the admin of macroregion perc</v>
      </c>
    </row>
    <row r="277" spans="1:5" x14ac:dyDescent="0.25">
      <c r="A277" t="s">
        <v>148</v>
      </c>
      <c r="B277" t="s">
        <v>159</v>
      </c>
      <c r="C277" t="s">
        <v>62</v>
      </c>
      <c r="D277">
        <v>415</v>
      </c>
      <c r="E277" t="str">
        <f>HYPERLINK("#'Data'!A5483", "Households reportedly having soap in their household broken down by proximity to the Frontline / Russian border on the admin of macroregion perc")</f>
        <v>Households reportedly having soap in their household broken down by proximity to the Frontline / Russian border on the admin of macroregion perc</v>
      </c>
    </row>
    <row r="278" spans="1:5" hidden="1" x14ac:dyDescent="0.25">
      <c r="A278" t="s">
        <v>148</v>
      </c>
      <c r="B278" t="s">
        <v>160</v>
      </c>
      <c r="C278" t="s">
        <v>35</v>
      </c>
      <c r="D278">
        <v>416</v>
      </c>
      <c r="E278" t="str">
        <f>HYPERLINK("#'Data'!A5509", "Households reporting main toilet facility in their household broken down by displacement status of HoH on the admin of macroregion perc")</f>
        <v>Households reporting main toilet facility in their household broken down by displacement status of HoH on the admin of macroregion perc</v>
      </c>
    </row>
    <row r="279" spans="1:5" hidden="1" x14ac:dyDescent="0.25">
      <c r="A279" t="s">
        <v>148</v>
      </c>
      <c r="B279" t="s">
        <v>160</v>
      </c>
      <c r="C279" t="s">
        <v>45</v>
      </c>
      <c r="D279">
        <v>417</v>
      </c>
      <c r="E279" t="str">
        <f>HYPERLINK("#'Data'!A5522", "Households reporting main toilet facility in their household broken down by rural / urban on the admin of macroregion perc")</f>
        <v>Households reporting main toilet facility in their household broken down by rural / urban on the admin of macroregion perc</v>
      </c>
    </row>
    <row r="280" spans="1:5" x14ac:dyDescent="0.25">
      <c r="A280" t="s">
        <v>148</v>
      </c>
      <c r="B280" t="s">
        <v>160</v>
      </c>
      <c r="C280" t="s">
        <v>62</v>
      </c>
      <c r="D280">
        <v>418</v>
      </c>
      <c r="E280" t="str">
        <f>HYPERLINK("#'Data'!A5544", "Households reporting main toilet facility in their household broken down by proximity to the Frontline / Russian border on the admin of macroregion...")</f>
        <v>Households reporting main toilet facility in their household broken down by proximity to the Frontline / Russian border on the admin of macroregion...</v>
      </c>
    </row>
    <row r="281" spans="1:5" hidden="1" x14ac:dyDescent="0.25">
      <c r="A281" t="s">
        <v>148</v>
      </c>
      <c r="B281" t="s">
        <v>161</v>
      </c>
      <c r="C281" t="s">
        <v>35</v>
      </c>
      <c r="D281">
        <v>419</v>
      </c>
      <c r="E281" t="str">
        <f>HYPERLINK("#'Data'!A5570", "Households that reportedly share their sanitation facility broken down by displacement status of HoH on the admin of macroregion perc")</f>
        <v>Households that reportedly share their sanitation facility broken down by displacement status of HoH on the admin of macroregion perc</v>
      </c>
    </row>
    <row r="282" spans="1:5" hidden="1" x14ac:dyDescent="0.25">
      <c r="A282" t="s">
        <v>148</v>
      </c>
      <c r="B282" t="s">
        <v>162</v>
      </c>
      <c r="C282" t="s">
        <v>35</v>
      </c>
      <c r="D282">
        <v>420</v>
      </c>
      <c r="E282" t="str">
        <f>HYPERLINK("#'Data'!A5583", "Number of Households Sharing Sanitation Facility Reported overall broken down by displacement status of HoH on the admin of macroregion mean")</f>
        <v>Number of Households Sharing Sanitation Facility Reported overall broken down by displacement status of HoH on the admin of macroregion mean</v>
      </c>
    </row>
    <row r="283" spans="1:5" hidden="1" x14ac:dyDescent="0.25">
      <c r="A283" t="s">
        <v>148</v>
      </c>
      <c r="B283" t="s">
        <v>163</v>
      </c>
      <c r="C283" t="s">
        <v>35</v>
      </c>
      <c r="D283">
        <v>421</v>
      </c>
      <c r="E283" t="str">
        <f>HYPERLINK("#'Data'!A5596", "Households reportedly having access to adequate toilets broken down by displacement status of HoH on the admin of macroregion perc")</f>
        <v>Households reportedly having access to adequate toilets broken down by displacement status of HoH on the admin of macroregion perc</v>
      </c>
    </row>
    <row r="284" spans="1:5" hidden="1" x14ac:dyDescent="0.25">
      <c r="A284" t="s">
        <v>148</v>
      </c>
      <c r="B284" t="s">
        <v>163</v>
      </c>
      <c r="C284" t="s">
        <v>45</v>
      </c>
      <c r="D284">
        <v>422</v>
      </c>
      <c r="E284" t="str">
        <f>HYPERLINK("#'Data'!A5609", "Households reportedly having access to adequate toilets broken down by rural / urban on the admin of macroregion perc")</f>
        <v>Households reportedly having access to adequate toilets broken down by rural / urban on the admin of macroregion perc</v>
      </c>
    </row>
    <row r="285" spans="1:5" hidden="1" x14ac:dyDescent="0.25">
      <c r="A285" t="s">
        <v>148</v>
      </c>
      <c r="B285" t="s">
        <v>164</v>
      </c>
      <c r="C285" t="s">
        <v>35</v>
      </c>
      <c r="D285">
        <v>423</v>
      </c>
      <c r="E285" t="str">
        <f>HYPERLINK("#'Data'!A5631", "Most Common Garbage Disposal Method Reported by Households broken down by displacement status of HoH on the admin of macroregion perc")</f>
        <v>Most Common Garbage Disposal Method Reported by Households broken down by displacement status of HoH on the admin of macroregion perc</v>
      </c>
    </row>
    <row r="286" spans="1:5" hidden="1" x14ac:dyDescent="0.25">
      <c r="A286" t="s">
        <v>148</v>
      </c>
      <c r="B286" t="s">
        <v>164</v>
      </c>
      <c r="C286" t="s">
        <v>45</v>
      </c>
      <c r="D286">
        <v>424</v>
      </c>
      <c r="E286" t="str">
        <f>HYPERLINK("#'Data'!A5644", "Most Common Garbage Disposal Method Reported by Households broken down by rural / urban on the admin of macroregion perc")</f>
        <v>Most Common Garbage Disposal Method Reported by Households broken down by rural / urban on the admin of macroregion perc</v>
      </c>
    </row>
    <row r="287" spans="1:5" hidden="1" x14ac:dyDescent="0.25">
      <c r="A287" t="s">
        <v>148</v>
      </c>
      <c r="B287" t="s">
        <v>165</v>
      </c>
      <c r="C287" t="s">
        <v>35</v>
      </c>
      <c r="D287">
        <v>425</v>
      </c>
      <c r="E287" t="str">
        <f>HYPERLINK("#'Data'!A5666", "Households reportedly facing issues with their sewage broken down by displacement status of HoH on the admin of macroregion perc")</f>
        <v>Households reportedly facing issues with their sewage broken down by displacement status of HoH on the admin of macroregion perc</v>
      </c>
    </row>
    <row r="288" spans="1:5" hidden="1" x14ac:dyDescent="0.25">
      <c r="A288" t="s">
        <v>148</v>
      </c>
      <c r="B288" t="s">
        <v>165</v>
      </c>
      <c r="C288" t="s">
        <v>45</v>
      </c>
      <c r="D288">
        <v>426</v>
      </c>
      <c r="E288" t="str">
        <f>HYPERLINK("#'Data'!A5679", "Households reportedly facing issues with their sewage broken down by rural / urban on the admin of macroregion perc")</f>
        <v>Households reportedly facing issues with their sewage broken down by rural / urban on the admin of macroregion perc</v>
      </c>
    </row>
    <row r="289" spans="1:5" hidden="1" x14ac:dyDescent="0.25">
      <c r="A289" t="s">
        <v>89</v>
      </c>
      <c r="B289" t="s">
        <v>166</v>
      </c>
      <c r="C289" t="s">
        <v>35</v>
      </c>
      <c r="D289">
        <v>427</v>
      </c>
      <c r="E289" t="str">
        <f>HYPERLINK("#'Data'!A5701", "Households reportedly struggling to obtain enough money to cover basic needs broken down by displacement status of HoH on the admin of macroregion ...")</f>
        <v>Households reportedly struggling to obtain enough money to cover basic needs broken down by displacement status of HoH on the admin of macroregion ...</v>
      </c>
    </row>
    <row r="290" spans="1:5" hidden="1" x14ac:dyDescent="0.25">
      <c r="A290" t="s">
        <v>89</v>
      </c>
      <c r="B290" t="s">
        <v>166</v>
      </c>
      <c r="C290" t="s">
        <v>45</v>
      </c>
      <c r="D290">
        <v>428</v>
      </c>
      <c r="E290" t="str">
        <f>HYPERLINK("#'Data'!A5714", "Households reportedly struggling to obtain enough money to cover basic needs broken down by rural / urban on the admin of macroregion perc")</f>
        <v>Households reportedly struggling to obtain enough money to cover basic needs broken down by rural / urban on the admin of macroregion perc</v>
      </c>
    </row>
    <row r="291" spans="1:5" x14ac:dyDescent="0.25">
      <c r="A291" t="s">
        <v>89</v>
      </c>
      <c r="B291" t="s">
        <v>166</v>
      </c>
      <c r="C291" t="s">
        <v>62</v>
      </c>
      <c r="D291">
        <v>429</v>
      </c>
      <c r="E291" t="str">
        <f>HYPERLINK("#'Data'!A5736", "Households reportedly struggling to obtain enough money to cover basic needs broken down by proximity to the Frontline / Russian border on the admi...")</f>
        <v>Households reportedly struggling to obtain enough money to cover basic needs broken down by proximity to the Frontline / Russian border on the admi...</v>
      </c>
    </row>
    <row r="292" spans="1:5" hidden="1" x14ac:dyDescent="0.25">
      <c r="A292" t="s">
        <v>89</v>
      </c>
      <c r="B292" t="s">
        <v>167</v>
      </c>
      <c r="C292" t="s">
        <v>35</v>
      </c>
      <c r="D292">
        <v>430</v>
      </c>
      <c r="E292" t="str">
        <f>HYPERLINK("#'Data'!A5762", "Main Challenges Reported by Households to Obtain Money to Meet Basic Needs broken down by displacement status of HoH on the admin of macroregion pe...")</f>
        <v>Main Challenges Reported by Households to Obtain Money to Meet Basic Needs broken down by displacement status of HoH on the admin of macroregion pe...</v>
      </c>
    </row>
    <row r="293" spans="1:5" hidden="1" x14ac:dyDescent="0.25">
      <c r="A293" t="s">
        <v>89</v>
      </c>
      <c r="B293" t="s">
        <v>167</v>
      </c>
      <c r="C293" t="s">
        <v>45</v>
      </c>
      <c r="D293">
        <v>431</v>
      </c>
      <c r="E293" t="str">
        <f>HYPERLINK("#'Data'!A5775", "Main Challenges Reported by Households to Obtain Money to Meet Basic Needs broken down by rural / urban on the admin of macroregion perc")</f>
        <v>Main Challenges Reported by Households to Obtain Money to Meet Basic Needs broken down by rural / urban on the admin of macroregion perc</v>
      </c>
    </row>
    <row r="294" spans="1:5" x14ac:dyDescent="0.25">
      <c r="A294" t="s">
        <v>89</v>
      </c>
      <c r="B294" t="s">
        <v>167</v>
      </c>
      <c r="C294" t="s">
        <v>62</v>
      </c>
      <c r="D294">
        <v>432</v>
      </c>
      <c r="E294" t="str">
        <f>HYPERLINK("#'Data'!A5797", "Main Challenges Reported by Households to Obtain Money to Meet Basic Needs broken down by proximity to the Frontline / Russian border on the admin ...")</f>
        <v>Main Challenges Reported by Households to Obtain Money to Meet Basic Needs broken down by proximity to the Frontline / Russian border on the admin ...</v>
      </c>
    </row>
    <row r="295" spans="1:5" hidden="1" x14ac:dyDescent="0.25">
      <c r="A295" t="s">
        <v>168</v>
      </c>
      <c r="B295" t="s">
        <v>169</v>
      </c>
      <c r="C295" t="s">
        <v>35</v>
      </c>
      <c r="D295">
        <v>433</v>
      </c>
      <c r="E295" t="str">
        <f>HYPERLINK("#'Data'!A5823", "Reduced Coping Strategies Index (rCSI) broken down by displacement status of HoH on the admin of macroregion perc")</f>
        <v>Reduced Coping Strategies Index (rCSI) broken down by displacement status of HoH on the admin of macroregion perc</v>
      </c>
    </row>
    <row r="296" spans="1:5" hidden="1" x14ac:dyDescent="0.25">
      <c r="A296" t="s">
        <v>168</v>
      </c>
      <c r="B296" t="s">
        <v>169</v>
      </c>
      <c r="C296" t="s">
        <v>45</v>
      </c>
      <c r="D296">
        <v>434</v>
      </c>
      <c r="E296" t="str">
        <f>HYPERLINK("#'Data'!A5836", "Reduced Coping Strategies Index (rCSI) broken down by rural / urban on the admin of macroregion perc")</f>
        <v>Reduced Coping Strategies Index (rCSI) broken down by rural / urban on the admin of macroregion perc</v>
      </c>
    </row>
    <row r="297" spans="1:5" x14ac:dyDescent="0.25">
      <c r="A297" t="s">
        <v>168</v>
      </c>
      <c r="B297" t="s">
        <v>169</v>
      </c>
      <c r="C297" t="s">
        <v>62</v>
      </c>
      <c r="D297">
        <v>435</v>
      </c>
      <c r="E297" t="str">
        <f>HYPERLINK("#'Data'!A5858", "Reduced Coping Strategies Index (rCSI) broken down by proximity to the Frontline / Russian border on the admin of macroregion perc")</f>
        <v>Reduced Coping Strategies Index (rCSI) broken down by proximity to the Frontline / Russian border on the admin of macroregion perc</v>
      </c>
    </row>
    <row r="298" spans="1:5" hidden="1" x14ac:dyDescent="0.25">
      <c r="A298" t="s">
        <v>168</v>
      </c>
      <c r="B298" t="s">
        <v>170</v>
      </c>
      <c r="C298" t="s">
        <v>35</v>
      </c>
      <c r="D298">
        <v>436</v>
      </c>
      <c r="E298" t="str">
        <f>HYPERLINK("#'Data'!A5884", "Household Hunger Scale (HHS) broken down by displacement status of HoH on the admin of macroregion perc")</f>
        <v>Household Hunger Scale (HHS) broken down by displacement status of HoH on the admin of macroregion perc</v>
      </c>
    </row>
    <row r="299" spans="1:5" hidden="1" x14ac:dyDescent="0.25">
      <c r="A299" t="s">
        <v>168</v>
      </c>
      <c r="B299" t="s">
        <v>170</v>
      </c>
      <c r="C299" t="s">
        <v>45</v>
      </c>
      <c r="D299">
        <v>437</v>
      </c>
      <c r="E299" t="str">
        <f>HYPERLINK("#'Data'!A5897", "Household Hunger Scale (HHS) broken down by rural / urban on the admin of macroregion perc")</f>
        <v>Household Hunger Scale (HHS) broken down by rural / urban on the admin of macroregion perc</v>
      </c>
    </row>
    <row r="300" spans="1:5" x14ac:dyDescent="0.25">
      <c r="A300" t="s">
        <v>168</v>
      </c>
      <c r="B300" t="s">
        <v>170</v>
      </c>
      <c r="C300" t="s">
        <v>62</v>
      </c>
      <c r="D300">
        <v>438</v>
      </c>
      <c r="E300" t="str">
        <f>HYPERLINK("#'Data'!A5919", "Household Hunger Scale (HHS) broken down by proximity to the Frontline / Russian border on the admin of macroregion perc")</f>
        <v>Household Hunger Scale (HHS) broken down by proximity to the Frontline / Russian border on the admin of macroregion perc</v>
      </c>
    </row>
    <row r="301" spans="1:5" hidden="1" x14ac:dyDescent="0.25">
      <c r="A301" t="s">
        <v>171</v>
      </c>
      <c r="B301" t="s">
        <v>172</v>
      </c>
      <c r="C301" t="s">
        <v>35</v>
      </c>
      <c r="D301">
        <v>439</v>
      </c>
      <c r="E301" t="str">
        <f>HYPERLINK("#'Data'!A5945", "K_2 Households reporting first most significant challenge their household currently faces broken down by displacement status of HoH on the admin of...")</f>
        <v>K_2 Households reporting first most significant challenge their household currently faces broken down by displacement status of HoH on the admin of...</v>
      </c>
    </row>
    <row r="302" spans="1:5" hidden="1" x14ac:dyDescent="0.25">
      <c r="A302" t="s">
        <v>171</v>
      </c>
      <c r="B302" t="s">
        <v>172</v>
      </c>
      <c r="C302" t="s">
        <v>45</v>
      </c>
      <c r="D302">
        <v>442</v>
      </c>
      <c r="E302" t="str">
        <f>HYPERLINK("#'Data'!A6116", "K_2 Households reporting first most significant challenge their household currently faces broken down by rural / urban on the admin of macroregion ")</f>
        <v xml:space="preserve">K_2 Households reporting first most significant challenge their household currently faces broken down by rural / urban on the admin of macroregion </v>
      </c>
    </row>
    <row r="303" spans="1:5" x14ac:dyDescent="0.25">
      <c r="A303" t="s">
        <v>171</v>
      </c>
      <c r="B303" t="s">
        <v>172</v>
      </c>
      <c r="C303" t="s">
        <v>62</v>
      </c>
      <c r="D303">
        <v>445</v>
      </c>
      <c r="E303" t="str">
        <f>HYPERLINK("#'Data'!A6371", "K_2 Households reporting first most significant challenge their household currently faces broken down by proximity to the Frontline / Russian borde...")</f>
        <v>K_2 Households reporting first most significant challenge their household currently faces broken down by proximity to the Frontline / Russian borde...</v>
      </c>
    </row>
    <row r="304" spans="1:5" hidden="1" x14ac:dyDescent="0.25">
      <c r="A304" t="s">
        <v>171</v>
      </c>
      <c r="B304" t="s">
        <v>173</v>
      </c>
      <c r="C304" t="s">
        <v>35</v>
      </c>
      <c r="D304">
        <v>448</v>
      </c>
      <c r="E304" t="str">
        <f>HYPERLINK("#'Data'!A6665", "Support households reportedly would like to receive broken down by displacement status of HoH on the admin of macroregion perc")</f>
        <v>Support households reportedly would like to receive broken down by displacement status of HoH on the admin of macroregion perc</v>
      </c>
    </row>
    <row r="305" spans="1:5" hidden="1" x14ac:dyDescent="0.25">
      <c r="A305" t="s">
        <v>171</v>
      </c>
      <c r="B305" t="s">
        <v>173</v>
      </c>
      <c r="C305" t="s">
        <v>45</v>
      </c>
      <c r="D305">
        <v>449</v>
      </c>
      <c r="E305" t="str">
        <f>HYPERLINK("#'Data'!A6678", "Support households reportedly would like to receive broken down by rural / urban on the admin of macroregion perc")</f>
        <v>Support households reportedly would like to receive broken down by rural / urban on the admin of macroregion perc</v>
      </c>
    </row>
    <row r="306" spans="1:5" x14ac:dyDescent="0.25">
      <c r="A306" t="s">
        <v>171</v>
      </c>
      <c r="B306" t="s">
        <v>173</v>
      </c>
      <c r="C306" t="s">
        <v>62</v>
      </c>
      <c r="D306">
        <v>450</v>
      </c>
      <c r="E306" t="str">
        <f>HYPERLINK("#'Data'!A6700", "Support households reportedly would like to receive broken down by proximity to the Frontline / Russian border on the admin of macroregion perc")</f>
        <v>Support households reportedly would like to receive broken down by proximity to the Frontline / Russian border on the admin of macroregion perc</v>
      </c>
    </row>
    <row r="307" spans="1:5" hidden="1" x14ac:dyDescent="0.25">
      <c r="A307" t="s">
        <v>171</v>
      </c>
      <c r="B307" t="s">
        <v>174</v>
      </c>
      <c r="C307" t="s">
        <v>35</v>
      </c>
      <c r="D307">
        <v>451</v>
      </c>
      <c r="E307" t="str">
        <f>HYPERLINK("#'Data'!A6726", "Aid households reportedly would like to receive broken down by displacement status of HoH on the admin of macroregion perc")</f>
        <v>Aid households reportedly would like to receive broken down by displacement status of HoH on the admin of macroregion perc</v>
      </c>
    </row>
    <row r="308" spans="1:5" hidden="1" x14ac:dyDescent="0.25">
      <c r="A308" t="s">
        <v>171</v>
      </c>
      <c r="B308" t="s">
        <v>174</v>
      </c>
      <c r="C308" t="s">
        <v>45</v>
      </c>
      <c r="D308">
        <v>452</v>
      </c>
      <c r="E308" t="str">
        <f>HYPERLINK("#'Data'!A6739", "Aid households reportedly would like to receive broken down by rural / urban on the admin of macroregion perc")</f>
        <v>Aid households reportedly would like to receive broken down by rural / urban on the admin of macroregion perc</v>
      </c>
    </row>
    <row r="309" spans="1:5" x14ac:dyDescent="0.25">
      <c r="A309" t="s">
        <v>171</v>
      </c>
      <c r="B309" t="s">
        <v>174</v>
      </c>
      <c r="C309" t="s">
        <v>62</v>
      </c>
      <c r="D309">
        <v>453</v>
      </c>
      <c r="E309" t="str">
        <f>HYPERLINK("#'Data'!A6761", "Aid households reportedly would like to receive broken down by proximity to the Frontline / Russian border on the admin of macroregion perc")</f>
        <v>Aid households reportedly would like to receive broken down by proximity to the Frontline / Russian border on the admin of macroregion perc</v>
      </c>
    </row>
    <row r="310" spans="1:5" hidden="1" x14ac:dyDescent="0.25">
      <c r="A310" t="s">
        <v>171</v>
      </c>
      <c r="B310" t="s">
        <v>175</v>
      </c>
      <c r="C310" t="s">
        <v>35</v>
      </c>
      <c r="D310">
        <v>454</v>
      </c>
      <c r="E310" t="str">
        <f>HYPERLINK("#'Data'!A6787", "K_6 Type of assisstance (feminine hygiene aid) households would like to receive broken down by displacement status of HoH on the admin of macroregi...")</f>
        <v>K_6 Type of assisstance (feminine hygiene aid) households would like to receive broken down by displacement status of HoH on the admin of macroregi...</v>
      </c>
    </row>
    <row r="311" spans="1:5" hidden="1" x14ac:dyDescent="0.25">
      <c r="A311" t="s">
        <v>171</v>
      </c>
      <c r="B311" t="s">
        <v>176</v>
      </c>
      <c r="C311" t="s">
        <v>35</v>
      </c>
      <c r="D311">
        <v>459</v>
      </c>
      <c r="E311" t="str">
        <f>HYPERLINK("#'Data'!A6818", "K_11 Households Reported to have Received Humanitarian Assistance in the Last 12 months broken down by displacement status of HoH on the admin of m...")</f>
        <v>K_11 Households Reported to have Received Humanitarian Assistance in the Last 12 months broken down by displacement status of HoH on the admin of m...</v>
      </c>
    </row>
    <row r="312" spans="1:5" hidden="1" x14ac:dyDescent="0.25">
      <c r="A312" t="s">
        <v>171</v>
      </c>
      <c r="B312" t="s">
        <v>176</v>
      </c>
      <c r="C312" t="s">
        <v>45</v>
      </c>
      <c r="D312">
        <v>460</v>
      </c>
      <c r="E312" t="str">
        <f>HYPERLINK("#'Data'!A6831", "K_11 Households Reported to have Received Humanitarian Assistance in the Last 12 months broken down by rural / urban on the admin of macroregion pe...")</f>
        <v>K_11 Households Reported to have Received Humanitarian Assistance in the Last 12 months broken down by rural / urban on the admin of macroregion pe...</v>
      </c>
    </row>
    <row r="313" spans="1:5" x14ac:dyDescent="0.25">
      <c r="A313" t="s">
        <v>171</v>
      </c>
      <c r="B313" t="s">
        <v>176</v>
      </c>
      <c r="C313" t="s">
        <v>62</v>
      </c>
      <c r="D313">
        <v>461</v>
      </c>
      <c r="E313" t="str">
        <f>HYPERLINK("#'Data'!A6853", "K_11 Households Reported to have Received Humanitarian Assistance in the Last 12 months broken down by proximity to the Frontline / Russian border ...")</f>
        <v>K_11 Households Reported to have Received Humanitarian Assistance in the Last 12 months broken down by proximity to the Frontline / Russian border ...</v>
      </c>
    </row>
    <row r="314" spans="1:5" hidden="1" x14ac:dyDescent="0.25">
      <c r="A314" t="s">
        <v>171</v>
      </c>
      <c r="B314" t="s">
        <v>177</v>
      </c>
      <c r="C314" t="s">
        <v>35</v>
      </c>
      <c r="D314">
        <v>462</v>
      </c>
      <c r="E314" t="str">
        <f>HYPERLINK("#'Data'!A6879", "Barriers Households reportedly faced during accessing aid broken down by displacement status of HoH on the admin of macroregion perc")</f>
        <v>Barriers Households reportedly faced during accessing aid broken down by displacement status of HoH on the admin of macroregion perc</v>
      </c>
    </row>
    <row r="315" spans="1:5" hidden="1" x14ac:dyDescent="0.25">
      <c r="A315" t="s">
        <v>171</v>
      </c>
      <c r="B315" t="s">
        <v>177</v>
      </c>
      <c r="C315" t="s">
        <v>45</v>
      </c>
      <c r="D315">
        <v>463</v>
      </c>
      <c r="E315" t="str">
        <f>HYPERLINK("#'Data'!A6892", "Barriers Households reportedly faced during accessing aid broken down by rural / urban on the admin of macroregion perc")</f>
        <v>Barriers Households reportedly faced during accessing aid broken down by rural / urban on the admin of macroregion perc</v>
      </c>
    </row>
    <row r="316" spans="1:5" x14ac:dyDescent="0.25">
      <c r="A316" t="s">
        <v>171</v>
      </c>
      <c r="B316" t="s">
        <v>177</v>
      </c>
      <c r="C316" t="s">
        <v>62</v>
      </c>
      <c r="D316">
        <v>464</v>
      </c>
      <c r="E316" t="str">
        <f>HYPERLINK("#'Data'!A6914", "Barriers Households reportedly faced during accessing aid broken down by proximity to the Frontline / Russian border on the admin of macroregion pe...")</f>
        <v>Barriers Households reportedly faced during accessing aid broken down by proximity to the Frontline / Russian border on the admin of macroregion pe...</v>
      </c>
    </row>
    <row r="317" spans="1:5" hidden="1" x14ac:dyDescent="0.25">
      <c r="A317" t="s">
        <v>171</v>
      </c>
      <c r="B317" t="s">
        <v>178</v>
      </c>
      <c r="C317" t="s">
        <v>35</v>
      </c>
      <c r="D317">
        <v>465</v>
      </c>
      <c r="E317" t="str">
        <f>HYPERLINK("#'Data'!A6940", "Aid satisfaction reported by households broken down by displacement status of HoH on the admin of macroregion perc")</f>
        <v>Aid satisfaction reported by households broken down by displacement status of HoH on the admin of macroregion perc</v>
      </c>
    </row>
    <row r="318" spans="1:5" hidden="1" x14ac:dyDescent="0.25">
      <c r="A318" t="s">
        <v>171</v>
      </c>
      <c r="B318" t="s">
        <v>178</v>
      </c>
      <c r="C318" t="s">
        <v>45</v>
      </c>
      <c r="D318">
        <v>466</v>
      </c>
      <c r="E318" t="str">
        <f>HYPERLINK("#'Data'!A6953", "Aid satisfaction reported by households broken down by rural / urban on the admin of macroregion perc")</f>
        <v>Aid satisfaction reported by households broken down by rural / urban on the admin of macroregion perc</v>
      </c>
    </row>
    <row r="319" spans="1:5" x14ac:dyDescent="0.25">
      <c r="A319" t="s">
        <v>171</v>
      </c>
      <c r="B319" t="s">
        <v>178</v>
      </c>
      <c r="C319" t="s">
        <v>62</v>
      </c>
      <c r="D319">
        <v>467</v>
      </c>
      <c r="E319" t="str">
        <f>HYPERLINK("#'Data'!A6975", "Aid satisfaction reported by households broken down by proximity to the Frontline / Russian border on the admin of macroregion perc")</f>
        <v>Aid satisfaction reported by households broken down by proximity to the Frontline / Russian border on the admin of macroregion perc</v>
      </c>
    </row>
    <row r="320" spans="1:5" hidden="1" x14ac:dyDescent="0.25">
      <c r="A320" t="s">
        <v>171</v>
      </c>
      <c r="B320" t="s">
        <v>179</v>
      </c>
      <c r="C320" t="s">
        <v>35</v>
      </c>
      <c r="D320">
        <v>468</v>
      </c>
      <c r="E320" t="str">
        <f>HYPERLINK("#'Data'!A7001", "Information Households would like to receive from aid providers broken down by displacement status of HoH on the admin of macroregion perc")</f>
        <v>Information Households would like to receive from aid providers broken down by displacement status of HoH on the admin of macroregion perc</v>
      </c>
    </row>
    <row r="321" spans="1:5" hidden="1" x14ac:dyDescent="0.25">
      <c r="A321" t="s">
        <v>171</v>
      </c>
      <c r="B321" t="s">
        <v>180</v>
      </c>
      <c r="C321" t="s">
        <v>35</v>
      </c>
      <c r="D321">
        <v>469</v>
      </c>
      <c r="E321" t="str">
        <f>HYPERLINK("#'Data'!A7014", "Peferred mean of communication reported by households broken down by displacement status of HoH on the admin of macroregion perc")</f>
        <v>Peferred mean of communication reported by households broken down by displacement status of HoH on the admin of macroregion perc</v>
      </c>
    </row>
    <row r="322" spans="1:5" hidden="1" x14ac:dyDescent="0.25">
      <c r="A322" t="s">
        <v>171</v>
      </c>
      <c r="B322" t="s">
        <v>179</v>
      </c>
      <c r="C322" t="s">
        <v>35</v>
      </c>
      <c r="D322">
        <v>470</v>
      </c>
      <c r="E322" t="str">
        <f>HYPERLINK("#'Data'!A7027", "Households reportedly feeling involved in aid distribution broken down by displacement status of HoH on the admin of macroregion perc")</f>
        <v>Households reportedly feeling involved in aid distribution broken down by displacement status of HoH on the admin of macroregion perc</v>
      </c>
    </row>
    <row r="323" spans="1:5" hidden="1" x14ac:dyDescent="0.25">
      <c r="A323" t="s">
        <v>171</v>
      </c>
      <c r="B323" t="s">
        <v>181</v>
      </c>
      <c r="C323" t="s">
        <v>35</v>
      </c>
      <c r="D323">
        <v>471</v>
      </c>
      <c r="E323" t="str">
        <f>HYPERLINK("#'Data'!A7040", "Preferred language of communication with aid providers broken down by displacement status of HoH on the admin of macroregion perc")</f>
        <v>Preferred language of communication with aid providers broken down by displacement status of HoH on the admin of macroregion perc</v>
      </c>
    </row>
    <row r="324" spans="1:5" hidden="1" x14ac:dyDescent="0.25">
      <c r="A324" t="s">
        <v>171</v>
      </c>
      <c r="B324" t="s">
        <v>182</v>
      </c>
      <c r="C324" t="s">
        <v>35</v>
      </c>
      <c r="D324">
        <v>472</v>
      </c>
      <c r="E324" t="str">
        <f>HYPERLINK("#'Data'!A7053", "Households reporting to experience cuts in assisstance from the government broken down by displacement status of HoH on the admin of macroregion pe...")</f>
        <v>Households reporting to experience cuts in assisstance from the government broken down by displacement status of HoH on the admin of macroregion pe...</v>
      </c>
    </row>
    <row r="325" spans="1:5" hidden="1" x14ac:dyDescent="0.25">
      <c r="A325" t="s">
        <v>171</v>
      </c>
      <c r="B325" t="s">
        <v>183</v>
      </c>
      <c r="C325" t="s">
        <v>35</v>
      </c>
      <c r="D325">
        <v>473</v>
      </c>
      <c r="E325" t="str">
        <f>HYPERLINK("#'Data'!A7066", "Households reportedly requiring legal assisstance broken down by displacement status of HoH on the admin of macroregion perc")</f>
        <v>Households reportedly requiring legal assisstance broken down by displacement status of HoH on the admin of macroregion perc</v>
      </c>
    </row>
    <row r="326" spans="1:5" hidden="1" x14ac:dyDescent="0.25">
      <c r="A326" t="s">
        <v>171</v>
      </c>
      <c r="B326" t="s">
        <v>184</v>
      </c>
      <c r="C326" t="s">
        <v>35</v>
      </c>
      <c r="D326">
        <v>474</v>
      </c>
      <c r="E326" t="str">
        <f>HYPERLINK("#'Data'!A7079", "Households reportedly requiring services provided by the government broken down by displacement status of HoH on the admin of macroregion perc")</f>
        <v>Households reportedly requiring services provided by the government broken down by displacement status of HoH on the admin of macroregion perc</v>
      </c>
    </row>
    <row r="327" spans="1:5" hidden="1" x14ac:dyDescent="0.25">
      <c r="A327" t="s">
        <v>171</v>
      </c>
      <c r="B327" t="s">
        <v>185</v>
      </c>
      <c r="C327" t="s">
        <v>35</v>
      </c>
      <c r="D327">
        <v>475</v>
      </c>
      <c r="E327" t="str">
        <f>HYPERLINK("#'Data'!A7092", "Households reportedly facing barriers while accessing services provided by the government broken down by displacement status of HoH on the admin of...")</f>
        <v>Households reportedly facing barriers while accessing services provided by the government broken down by displacement status of HoH on the admin of...</v>
      </c>
    </row>
    <row r="328" spans="1:5" hidden="1" x14ac:dyDescent="0.25">
      <c r="A328" t="s">
        <v>171</v>
      </c>
      <c r="B328" t="s">
        <v>185</v>
      </c>
      <c r="C328" t="s">
        <v>45</v>
      </c>
      <c r="D328">
        <v>476</v>
      </c>
      <c r="E328" t="str">
        <f>HYPERLINK("#'Data'!A7105", "Households reportedly facing barriers while accessing services provided by the government broken down by rural / urban on the admin of macroregion ...")</f>
        <v>Households reportedly facing barriers while accessing services provided by the government broken down by rural / urban on the admin of macroregion ...</v>
      </c>
    </row>
    <row r="329" spans="1:5" hidden="1" x14ac:dyDescent="0.25">
      <c r="A329" t="s">
        <v>171</v>
      </c>
      <c r="B329" t="s">
        <v>186</v>
      </c>
      <c r="C329" t="s">
        <v>35</v>
      </c>
      <c r="D329">
        <v>477</v>
      </c>
      <c r="E329" t="str">
        <f>HYPERLINK("#'Data'!A7127", "Households reporting available services for women in their community broken down by displacement status of HoH on the admin of macroregion perc")</f>
        <v>Households reporting available services for women in their community broken down by displacement status of HoH on the admin of macroregion perc</v>
      </c>
    </row>
    <row r="330" spans="1:5" hidden="1" x14ac:dyDescent="0.25">
      <c r="A330" t="s">
        <v>171</v>
      </c>
      <c r="B330" t="s">
        <v>186</v>
      </c>
      <c r="C330" t="s">
        <v>45</v>
      </c>
      <c r="D330">
        <v>478</v>
      </c>
      <c r="E330" t="str">
        <f>HYPERLINK("#'Data'!A7140", "Households reporting available services for women in their community broken down by rural / urban on the admin of macroregion perc")</f>
        <v>Households reporting available services for women in their community broken down by rural / urban on the admin of macroregion perc</v>
      </c>
    </row>
    <row r="331" spans="1:5" hidden="1" x14ac:dyDescent="0.25">
      <c r="A331" t="s">
        <v>171</v>
      </c>
      <c r="B331" t="s">
        <v>187</v>
      </c>
      <c r="C331" t="s">
        <v>35</v>
      </c>
      <c r="D331">
        <v>479</v>
      </c>
      <c r="E331" t="str">
        <f>HYPERLINK("#'Data'!A7162", "Households reporting needed services related to children's well-being  broken down by displacement status of HoH on the admin of macroregion perc")</f>
        <v>Households reporting needed services related to children's well-being  broken down by displacement status of HoH on the admin of macroregion perc</v>
      </c>
    </row>
    <row r="332" spans="1:5" hidden="1" x14ac:dyDescent="0.25">
      <c r="A332" t="s">
        <v>171</v>
      </c>
      <c r="B332" t="s">
        <v>187</v>
      </c>
      <c r="C332" t="s">
        <v>45</v>
      </c>
      <c r="D332">
        <v>480</v>
      </c>
      <c r="E332" t="str">
        <f>HYPERLINK("#'Data'!A7175", "Households reporting needed services related to children's well-being  broken down by rural / urban on the admin of macroregion perc")</f>
        <v>Households reporting needed services related to children's well-being  broken down by rural / urban on the admin of macroregion perc</v>
      </c>
    </row>
    <row r="333" spans="1:5" hidden="1" x14ac:dyDescent="0.25">
      <c r="A333" t="s">
        <v>168</v>
      </c>
      <c r="B333" t="s">
        <v>169</v>
      </c>
      <c r="C333" t="s">
        <v>35</v>
      </c>
      <c r="D333">
        <v>481</v>
      </c>
      <c r="E333" t="str">
        <f>HYPERLINK("#'Data'!A7197", "Percentage of households adopting reduced coping strategies, by strategy (rCSI) broken down by rural / urban on the admin of macroreg...")</f>
        <v>Percentage of households adopting reduced coping strategies, by strategy (rCSI) broken down by rural / urban on the admin of macroreg...</v>
      </c>
    </row>
    <row r="334" spans="1:5" hidden="1" x14ac:dyDescent="0.25">
      <c r="A334" t="s">
        <v>168</v>
      </c>
      <c r="B334" t="s">
        <v>169</v>
      </c>
      <c r="C334" t="s">
        <v>45</v>
      </c>
      <c r="D334">
        <v>486</v>
      </c>
      <c r="E334" t="str">
        <f>HYPERLINK("#'Data'!A7238", "Percentage of households adopting reduced coping strategies, by strategy (rCSI) broken down by proximity to the Frontline / Russian b...")</f>
        <v>Percentage of households adopting reduced coping strategies, by strategy (rCSI) broken down by proximity to the Frontline / Russian b...</v>
      </c>
    </row>
  </sheetData>
  <mergeCells count="1">
    <mergeCell ref="B1:F1"/>
  </mergeCells>
  <pageMargins left="0.75" right="0.75" top="1" bottom="1" header="0.5" footer="0.5"/>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7285"/>
  <sheetViews>
    <sheetView tabSelected="1" workbookViewId="0">
      <selection activeCell="A1793" sqref="A1793:XFD1793"/>
    </sheetView>
  </sheetViews>
  <sheetFormatPr defaultRowHeight="15" x14ac:dyDescent="0.25"/>
  <cols>
    <col min="1" max="1" width="30" customWidth="1"/>
    <col min="2" max="56" width="20" customWidth="1"/>
  </cols>
  <sheetData>
    <row r="1" spans="1:8" x14ac:dyDescent="0.25">
      <c r="A1" t="s">
        <v>188</v>
      </c>
    </row>
    <row r="2" spans="1:8" x14ac:dyDescent="0.25">
      <c r="A2" t="s">
        <v>189</v>
      </c>
      <c r="B2" t="s">
        <v>190</v>
      </c>
      <c r="C2" t="s">
        <v>191</v>
      </c>
      <c r="D2" t="s">
        <v>192</v>
      </c>
      <c r="E2" t="s">
        <v>193</v>
      </c>
      <c r="F2" t="s">
        <v>194</v>
      </c>
      <c r="G2" t="s">
        <v>195</v>
      </c>
      <c r="H2" t="s">
        <v>196</v>
      </c>
    </row>
    <row r="3" spans="1:8" x14ac:dyDescent="0.25">
      <c r="A3" t="s">
        <v>197</v>
      </c>
      <c r="B3" t="s">
        <v>198</v>
      </c>
      <c r="C3">
        <v>50.407870438107793</v>
      </c>
      <c r="D3">
        <v>49</v>
      </c>
      <c r="E3">
        <v>20</v>
      </c>
      <c r="F3">
        <v>91</v>
      </c>
      <c r="G3">
        <v>82</v>
      </c>
      <c r="H3">
        <v>2633</v>
      </c>
    </row>
    <row r="4" spans="1:8" x14ac:dyDescent="0.25">
      <c r="A4" t="s">
        <v>199</v>
      </c>
      <c r="B4" t="s">
        <v>198</v>
      </c>
      <c r="C4">
        <v>44.551760352994393</v>
      </c>
      <c r="D4">
        <v>41</v>
      </c>
      <c r="E4">
        <v>18</v>
      </c>
      <c r="F4">
        <v>84</v>
      </c>
      <c r="G4">
        <v>368</v>
      </c>
      <c r="H4">
        <v>2633</v>
      </c>
    </row>
    <row r="5" spans="1:8" x14ac:dyDescent="0.25">
      <c r="A5" t="s">
        <v>200</v>
      </c>
      <c r="B5" t="s">
        <v>198</v>
      </c>
      <c r="C5">
        <v>44.588725486435798</v>
      </c>
      <c r="D5">
        <v>41</v>
      </c>
      <c r="E5">
        <v>18</v>
      </c>
      <c r="F5">
        <v>86</v>
      </c>
      <c r="G5">
        <v>387</v>
      </c>
      <c r="H5">
        <v>2633</v>
      </c>
    </row>
    <row r="6" spans="1:8" x14ac:dyDescent="0.25">
      <c r="A6" t="s">
        <v>201</v>
      </c>
      <c r="B6" t="s">
        <v>198</v>
      </c>
      <c r="C6">
        <v>44.766372953567739</v>
      </c>
      <c r="D6">
        <v>42</v>
      </c>
      <c r="E6">
        <v>19</v>
      </c>
      <c r="F6">
        <v>89</v>
      </c>
      <c r="G6">
        <v>256</v>
      </c>
      <c r="H6">
        <v>2633</v>
      </c>
    </row>
    <row r="7" spans="1:8" x14ac:dyDescent="0.25">
      <c r="A7" t="s">
        <v>202</v>
      </c>
      <c r="B7" t="s">
        <v>198</v>
      </c>
      <c r="C7">
        <v>46.114039316674628</v>
      </c>
      <c r="D7">
        <v>45</v>
      </c>
      <c r="E7">
        <v>19</v>
      </c>
      <c r="F7">
        <v>86</v>
      </c>
      <c r="G7">
        <v>96</v>
      </c>
      <c r="H7">
        <v>2633</v>
      </c>
    </row>
    <row r="8" spans="1:8" x14ac:dyDescent="0.25">
      <c r="A8" t="s">
        <v>199</v>
      </c>
      <c r="B8" t="s">
        <v>203</v>
      </c>
      <c r="C8">
        <v>44.423180310336463</v>
      </c>
      <c r="D8">
        <v>40</v>
      </c>
      <c r="E8">
        <v>19</v>
      </c>
      <c r="F8">
        <v>87</v>
      </c>
      <c r="G8">
        <v>530</v>
      </c>
      <c r="H8">
        <v>2633</v>
      </c>
    </row>
    <row r="9" spans="1:8" x14ac:dyDescent="0.25">
      <c r="A9" t="s">
        <v>200</v>
      </c>
      <c r="B9" t="s">
        <v>203</v>
      </c>
      <c r="C9">
        <v>42.237400488307323</v>
      </c>
      <c r="D9">
        <v>39</v>
      </c>
      <c r="E9">
        <v>18</v>
      </c>
      <c r="F9">
        <v>85</v>
      </c>
      <c r="G9">
        <v>503</v>
      </c>
      <c r="H9">
        <v>2633</v>
      </c>
    </row>
    <row r="10" spans="1:8" x14ac:dyDescent="0.25">
      <c r="A10" t="s">
        <v>201</v>
      </c>
      <c r="B10" t="s">
        <v>203</v>
      </c>
      <c r="C10">
        <v>42.781463442538097</v>
      </c>
      <c r="D10">
        <v>42</v>
      </c>
      <c r="E10">
        <v>19</v>
      </c>
      <c r="F10">
        <v>84</v>
      </c>
      <c r="G10">
        <v>321</v>
      </c>
      <c r="H10">
        <v>2633</v>
      </c>
    </row>
    <row r="11" spans="1:8" x14ac:dyDescent="0.25">
      <c r="A11" t="s">
        <v>202</v>
      </c>
      <c r="B11" t="s">
        <v>203</v>
      </c>
      <c r="C11">
        <v>41.249664847621681</v>
      </c>
      <c r="D11">
        <v>38</v>
      </c>
      <c r="E11">
        <v>18</v>
      </c>
      <c r="F11">
        <v>76</v>
      </c>
      <c r="G11">
        <v>90</v>
      </c>
      <c r="H11">
        <v>2633</v>
      </c>
    </row>
    <row r="12" spans="1:8" x14ac:dyDescent="0.25">
      <c r="A12" t="s">
        <v>204</v>
      </c>
      <c r="B12" t="s">
        <v>204</v>
      </c>
      <c r="C12">
        <v>44.107114631131587</v>
      </c>
      <c r="D12">
        <v>40</v>
      </c>
      <c r="E12">
        <v>18</v>
      </c>
      <c r="F12">
        <v>91</v>
      </c>
      <c r="G12">
        <v>2633</v>
      </c>
      <c r="H12">
        <v>2633</v>
      </c>
    </row>
    <row r="14" spans="1:8" x14ac:dyDescent="0.25">
      <c r="A14" t="s">
        <v>205</v>
      </c>
    </row>
    <row r="15" spans="1:8" x14ac:dyDescent="0.25">
      <c r="A15" t="s">
        <v>190</v>
      </c>
      <c r="B15" t="s">
        <v>206</v>
      </c>
      <c r="C15" t="s">
        <v>195</v>
      </c>
      <c r="D15" t="s">
        <v>189</v>
      </c>
      <c r="E15" t="s">
        <v>196</v>
      </c>
      <c r="F15" t="s">
        <v>207</v>
      </c>
      <c r="G15" t="s">
        <v>208</v>
      </c>
    </row>
    <row r="16" spans="1:8" s="29" customFormat="1" x14ac:dyDescent="0.25">
      <c r="A16" s="29" t="s">
        <v>198</v>
      </c>
      <c r="B16" s="29" t="s">
        <v>209</v>
      </c>
      <c r="C16" s="29">
        <v>20</v>
      </c>
      <c r="D16" s="29" t="s">
        <v>197</v>
      </c>
      <c r="E16" s="29">
        <v>2633</v>
      </c>
      <c r="G16" s="30">
        <v>1</v>
      </c>
    </row>
    <row r="17" spans="1:7" x14ac:dyDescent="0.25">
      <c r="A17" t="s">
        <v>198</v>
      </c>
      <c r="B17" t="s">
        <v>210</v>
      </c>
      <c r="C17">
        <v>62</v>
      </c>
      <c r="D17" t="s">
        <v>197</v>
      </c>
      <c r="E17">
        <v>2633</v>
      </c>
      <c r="F17" s="1">
        <v>7.9699999999999993E-2</v>
      </c>
      <c r="G17" s="1">
        <v>0.92030000000000001</v>
      </c>
    </row>
    <row r="18" spans="1:7" x14ac:dyDescent="0.25">
      <c r="A18" t="s">
        <v>198</v>
      </c>
      <c r="B18" t="s">
        <v>209</v>
      </c>
      <c r="C18">
        <v>76</v>
      </c>
      <c r="D18" t="s">
        <v>199</v>
      </c>
      <c r="E18">
        <v>2633</v>
      </c>
      <c r="F18" s="1">
        <v>0.10349999999999999</v>
      </c>
      <c r="G18" s="1">
        <v>0.89649999999999996</v>
      </c>
    </row>
    <row r="19" spans="1:7" x14ac:dyDescent="0.25">
      <c r="A19" t="s">
        <v>198</v>
      </c>
      <c r="B19" t="s">
        <v>210</v>
      </c>
      <c r="C19">
        <v>292</v>
      </c>
      <c r="D19" t="s">
        <v>199</v>
      </c>
      <c r="E19">
        <v>2633</v>
      </c>
      <c r="F19" s="1">
        <v>9.3600000000000003E-2</v>
      </c>
      <c r="G19" s="1">
        <v>0.90639999999999998</v>
      </c>
    </row>
    <row r="20" spans="1:7" x14ac:dyDescent="0.25">
      <c r="A20" t="s">
        <v>198</v>
      </c>
      <c r="B20" t="s">
        <v>210</v>
      </c>
      <c r="C20">
        <v>312</v>
      </c>
      <c r="D20" t="s">
        <v>200</v>
      </c>
      <c r="E20">
        <v>2633</v>
      </c>
      <c r="F20" s="1">
        <v>0.10299999999999999</v>
      </c>
      <c r="G20" s="1">
        <v>0.89700000000000002</v>
      </c>
    </row>
    <row r="21" spans="1:7" x14ac:dyDescent="0.25">
      <c r="A21" t="s">
        <v>198</v>
      </c>
      <c r="B21" t="s">
        <v>209</v>
      </c>
      <c r="C21">
        <v>75</v>
      </c>
      <c r="D21" t="s">
        <v>200</v>
      </c>
      <c r="E21">
        <v>2633</v>
      </c>
      <c r="F21" s="1">
        <v>7.7100000000000002E-2</v>
      </c>
      <c r="G21" s="1">
        <v>0.92290000000000005</v>
      </c>
    </row>
    <row r="22" spans="1:7" x14ac:dyDescent="0.25">
      <c r="A22" t="s">
        <v>198</v>
      </c>
      <c r="B22" t="s">
        <v>209</v>
      </c>
      <c r="C22">
        <v>52</v>
      </c>
      <c r="D22" t="s">
        <v>201</v>
      </c>
      <c r="E22">
        <v>2633</v>
      </c>
      <c r="F22" s="1">
        <v>3.5000000000000001E-3</v>
      </c>
      <c r="G22" s="1">
        <v>0.99650000000000005</v>
      </c>
    </row>
    <row r="23" spans="1:7" x14ac:dyDescent="0.25">
      <c r="A23" t="s">
        <v>198</v>
      </c>
      <c r="B23" t="s">
        <v>210</v>
      </c>
      <c r="C23">
        <v>204</v>
      </c>
      <c r="D23" t="s">
        <v>201</v>
      </c>
      <c r="E23">
        <v>2633</v>
      </c>
      <c r="F23" s="1">
        <v>9.6500000000000002E-2</v>
      </c>
      <c r="G23" s="1">
        <v>0.90349999999999997</v>
      </c>
    </row>
    <row r="24" spans="1:7" x14ac:dyDescent="0.25">
      <c r="A24" t="s">
        <v>198</v>
      </c>
      <c r="B24" t="s">
        <v>210</v>
      </c>
      <c r="C24">
        <v>71</v>
      </c>
      <c r="D24" t="s">
        <v>202</v>
      </c>
      <c r="E24">
        <v>2633</v>
      </c>
      <c r="F24" s="1">
        <v>5.7299999999999997E-2</v>
      </c>
      <c r="G24" s="1">
        <v>0.94269999999999998</v>
      </c>
    </row>
    <row r="25" spans="1:7" s="29" customFormat="1" x14ac:dyDescent="0.25">
      <c r="A25" s="29" t="s">
        <v>198</v>
      </c>
      <c r="B25" s="29" t="s">
        <v>209</v>
      </c>
      <c r="C25" s="29">
        <v>25</v>
      </c>
      <c r="D25" s="29" t="s">
        <v>202</v>
      </c>
      <c r="E25" s="29">
        <v>2633</v>
      </c>
      <c r="G25" s="30">
        <v>1</v>
      </c>
    </row>
    <row r="26" spans="1:7" x14ac:dyDescent="0.25">
      <c r="A26" t="s">
        <v>203</v>
      </c>
      <c r="B26" t="s">
        <v>209</v>
      </c>
      <c r="C26">
        <v>126</v>
      </c>
      <c r="D26" t="s">
        <v>199</v>
      </c>
      <c r="E26">
        <v>2633</v>
      </c>
      <c r="F26" s="1">
        <v>8.3900000000000002E-2</v>
      </c>
      <c r="G26" s="1">
        <v>0.91610000000000003</v>
      </c>
    </row>
    <row r="27" spans="1:7" x14ac:dyDescent="0.25">
      <c r="A27" t="s">
        <v>203</v>
      </c>
      <c r="B27" t="s">
        <v>210</v>
      </c>
      <c r="C27">
        <v>404</v>
      </c>
      <c r="D27" t="s">
        <v>199</v>
      </c>
      <c r="E27">
        <v>2633</v>
      </c>
      <c r="F27" s="1">
        <v>6.83E-2</v>
      </c>
      <c r="G27" s="1">
        <v>0.93169999999999997</v>
      </c>
    </row>
    <row r="28" spans="1:7" x14ac:dyDescent="0.25">
      <c r="A28" t="s">
        <v>203</v>
      </c>
      <c r="B28" t="s">
        <v>210</v>
      </c>
      <c r="C28">
        <v>367</v>
      </c>
      <c r="D28" t="s">
        <v>200</v>
      </c>
      <c r="E28">
        <v>2633</v>
      </c>
      <c r="F28" s="1">
        <v>0.1037</v>
      </c>
      <c r="G28" s="1">
        <v>0.89629999999999999</v>
      </c>
    </row>
    <row r="29" spans="1:7" x14ac:dyDescent="0.25">
      <c r="A29" t="s">
        <v>203</v>
      </c>
      <c r="B29" t="s">
        <v>209</v>
      </c>
      <c r="C29">
        <v>136</v>
      </c>
      <c r="D29" t="s">
        <v>200</v>
      </c>
      <c r="E29">
        <v>2633</v>
      </c>
      <c r="F29" s="1">
        <v>0.1605</v>
      </c>
      <c r="G29" s="1">
        <v>0.83950000000000002</v>
      </c>
    </row>
    <row r="30" spans="1:7" x14ac:dyDescent="0.25">
      <c r="A30" t="s">
        <v>203</v>
      </c>
      <c r="B30" t="s">
        <v>209</v>
      </c>
      <c r="C30">
        <v>86</v>
      </c>
      <c r="D30" t="s">
        <v>201</v>
      </c>
      <c r="E30">
        <v>2633</v>
      </c>
      <c r="F30" s="1">
        <v>0.1027</v>
      </c>
      <c r="G30" s="1">
        <v>0.89729999999999999</v>
      </c>
    </row>
    <row r="31" spans="1:7" x14ac:dyDescent="0.25">
      <c r="A31" t="s">
        <v>203</v>
      </c>
      <c r="B31" t="s">
        <v>210</v>
      </c>
      <c r="C31">
        <v>235</v>
      </c>
      <c r="D31" t="s">
        <v>201</v>
      </c>
      <c r="E31">
        <v>2633</v>
      </c>
      <c r="F31" s="1">
        <v>0.18559999999999999</v>
      </c>
      <c r="G31" s="1">
        <v>0.81440000000000001</v>
      </c>
    </row>
    <row r="32" spans="1:7" s="29" customFormat="1" x14ac:dyDescent="0.25">
      <c r="A32" s="29" t="s">
        <v>203</v>
      </c>
      <c r="B32" s="29" t="s">
        <v>209</v>
      </c>
      <c r="C32" s="29">
        <v>27</v>
      </c>
      <c r="D32" s="29" t="s">
        <v>202</v>
      </c>
      <c r="E32" s="29">
        <v>2633</v>
      </c>
      <c r="F32" s="30">
        <v>0.12180000000000001</v>
      </c>
      <c r="G32" s="30">
        <v>0.87819999999999998</v>
      </c>
    </row>
    <row r="33" spans="1:8" x14ac:dyDescent="0.25">
      <c r="A33" t="s">
        <v>203</v>
      </c>
      <c r="B33" t="s">
        <v>210</v>
      </c>
      <c r="C33">
        <v>63</v>
      </c>
      <c r="D33" t="s">
        <v>202</v>
      </c>
      <c r="E33">
        <v>2633</v>
      </c>
      <c r="F33" s="1">
        <v>0.16980000000000001</v>
      </c>
      <c r="G33" s="1">
        <v>0.83020000000000005</v>
      </c>
    </row>
    <row r="34" spans="1:8" x14ac:dyDescent="0.25">
      <c r="A34" t="s">
        <v>204</v>
      </c>
      <c r="B34" t="s">
        <v>204</v>
      </c>
      <c r="C34">
        <v>2633</v>
      </c>
      <c r="D34" t="s">
        <v>204</v>
      </c>
      <c r="E34">
        <v>2633</v>
      </c>
      <c r="F34" s="1">
        <v>9.9099999999999994E-2</v>
      </c>
      <c r="G34" s="1">
        <v>0.90090000000000003</v>
      </c>
    </row>
    <row r="36" spans="1:8" x14ac:dyDescent="0.25">
      <c r="A36" t="s">
        <v>211</v>
      </c>
    </row>
    <row r="37" spans="1:8" x14ac:dyDescent="0.25">
      <c r="A37" t="s">
        <v>189</v>
      </c>
      <c r="B37" t="s">
        <v>190</v>
      </c>
      <c r="C37" t="s">
        <v>191</v>
      </c>
      <c r="D37" t="s">
        <v>192</v>
      </c>
      <c r="E37" t="s">
        <v>193</v>
      </c>
      <c r="F37" t="s">
        <v>194</v>
      </c>
      <c r="G37" t="s">
        <v>195</v>
      </c>
      <c r="H37" t="s">
        <v>196</v>
      </c>
    </row>
    <row r="38" spans="1:8" x14ac:dyDescent="0.25">
      <c r="A38" t="s">
        <v>197</v>
      </c>
      <c r="B38" t="s">
        <v>198</v>
      </c>
      <c r="C38">
        <v>2.6543423348987698</v>
      </c>
      <c r="D38">
        <v>3</v>
      </c>
      <c r="E38">
        <v>1</v>
      </c>
      <c r="F38">
        <v>5</v>
      </c>
      <c r="G38">
        <v>82</v>
      </c>
      <c r="H38">
        <v>2633</v>
      </c>
    </row>
    <row r="39" spans="1:8" x14ac:dyDescent="0.25">
      <c r="A39" t="s">
        <v>199</v>
      </c>
      <c r="B39" t="s">
        <v>198</v>
      </c>
      <c r="C39">
        <v>2.660456514388819</v>
      </c>
      <c r="D39">
        <v>3</v>
      </c>
      <c r="E39">
        <v>1</v>
      </c>
      <c r="F39">
        <v>9</v>
      </c>
      <c r="G39">
        <v>368</v>
      </c>
      <c r="H39">
        <v>2633</v>
      </c>
    </row>
    <row r="40" spans="1:8" x14ac:dyDescent="0.25">
      <c r="A40" t="s">
        <v>200</v>
      </c>
      <c r="B40" t="s">
        <v>198</v>
      </c>
      <c r="C40">
        <v>2.9488827712054131</v>
      </c>
      <c r="D40">
        <v>3</v>
      </c>
      <c r="E40">
        <v>1</v>
      </c>
      <c r="F40">
        <v>10</v>
      </c>
      <c r="G40">
        <v>387</v>
      </c>
      <c r="H40">
        <v>2633</v>
      </c>
    </row>
    <row r="41" spans="1:8" x14ac:dyDescent="0.25">
      <c r="A41" t="s">
        <v>201</v>
      </c>
      <c r="B41" t="s">
        <v>198</v>
      </c>
      <c r="C41">
        <v>2.993666279647007</v>
      </c>
      <c r="D41">
        <v>3</v>
      </c>
      <c r="E41">
        <v>1</v>
      </c>
      <c r="F41">
        <v>9</v>
      </c>
      <c r="G41">
        <v>256</v>
      </c>
      <c r="H41">
        <v>2633</v>
      </c>
    </row>
    <row r="42" spans="1:8" x14ac:dyDescent="0.25">
      <c r="A42" t="s">
        <v>202</v>
      </c>
      <c r="B42" t="s">
        <v>198</v>
      </c>
      <c r="C42">
        <v>2.4877190419711659</v>
      </c>
      <c r="D42">
        <v>2</v>
      </c>
      <c r="E42">
        <v>1</v>
      </c>
      <c r="F42">
        <v>10</v>
      </c>
      <c r="G42">
        <v>96</v>
      </c>
      <c r="H42">
        <v>2633</v>
      </c>
    </row>
    <row r="43" spans="1:8" x14ac:dyDescent="0.25">
      <c r="A43" t="s">
        <v>199</v>
      </c>
      <c r="B43" t="s">
        <v>203</v>
      </c>
      <c r="C43">
        <v>2.828947361973388</v>
      </c>
      <c r="D43">
        <v>3</v>
      </c>
      <c r="E43">
        <v>1</v>
      </c>
      <c r="F43">
        <v>12</v>
      </c>
      <c r="G43">
        <v>530</v>
      </c>
      <c r="H43">
        <v>2633</v>
      </c>
    </row>
    <row r="44" spans="1:8" x14ac:dyDescent="0.25">
      <c r="A44" t="s">
        <v>200</v>
      </c>
      <c r="B44" t="s">
        <v>203</v>
      </c>
      <c r="C44">
        <v>2.8084426713613868</v>
      </c>
      <c r="D44">
        <v>3</v>
      </c>
      <c r="E44">
        <v>1</v>
      </c>
      <c r="F44">
        <v>10</v>
      </c>
      <c r="G44">
        <v>503</v>
      </c>
      <c r="H44">
        <v>2633</v>
      </c>
    </row>
    <row r="45" spans="1:8" x14ac:dyDescent="0.25">
      <c r="A45" t="s">
        <v>201</v>
      </c>
      <c r="B45" t="s">
        <v>203</v>
      </c>
      <c r="C45">
        <v>2.7097153190780312</v>
      </c>
      <c r="D45">
        <v>3</v>
      </c>
      <c r="E45">
        <v>1</v>
      </c>
      <c r="F45">
        <v>9</v>
      </c>
      <c r="G45">
        <v>321</v>
      </c>
      <c r="H45">
        <v>2633</v>
      </c>
    </row>
    <row r="46" spans="1:8" x14ac:dyDescent="0.25">
      <c r="A46" t="s">
        <v>202</v>
      </c>
      <c r="B46" t="s">
        <v>203</v>
      </c>
      <c r="C46">
        <v>2.8290622293545291</v>
      </c>
      <c r="D46">
        <v>3</v>
      </c>
      <c r="E46">
        <v>1</v>
      </c>
      <c r="F46">
        <v>7</v>
      </c>
      <c r="G46">
        <v>90</v>
      </c>
      <c r="H46">
        <v>2633</v>
      </c>
    </row>
    <row r="47" spans="1:8" x14ac:dyDescent="0.25">
      <c r="A47" t="s">
        <v>204</v>
      </c>
      <c r="B47" t="s">
        <v>204</v>
      </c>
      <c r="C47">
        <v>2.7739786088033189</v>
      </c>
      <c r="D47">
        <v>3</v>
      </c>
      <c r="E47">
        <v>1</v>
      </c>
      <c r="F47">
        <v>12</v>
      </c>
      <c r="G47">
        <v>2633</v>
      </c>
      <c r="H47">
        <v>2633</v>
      </c>
    </row>
    <row r="49" spans="1:8" x14ac:dyDescent="0.25">
      <c r="A49" t="s">
        <v>212</v>
      </c>
    </row>
    <row r="50" spans="1:8" x14ac:dyDescent="0.25">
      <c r="A50" t="s">
        <v>189</v>
      </c>
      <c r="B50" t="s">
        <v>190</v>
      </c>
      <c r="C50" t="s">
        <v>191</v>
      </c>
      <c r="D50" t="s">
        <v>192</v>
      </c>
      <c r="E50" t="s">
        <v>193</v>
      </c>
      <c r="F50" t="s">
        <v>194</v>
      </c>
      <c r="G50" t="s">
        <v>195</v>
      </c>
      <c r="H50" t="s">
        <v>196</v>
      </c>
    </row>
    <row r="51" spans="1:8" x14ac:dyDescent="0.25">
      <c r="A51" t="s">
        <v>197</v>
      </c>
      <c r="B51" t="s">
        <v>198</v>
      </c>
      <c r="C51">
        <v>40.368556988684688</v>
      </c>
      <c r="D51">
        <v>41</v>
      </c>
      <c r="E51">
        <v>0</v>
      </c>
      <c r="F51">
        <v>91</v>
      </c>
      <c r="G51">
        <v>216</v>
      </c>
      <c r="H51">
        <v>7605</v>
      </c>
    </row>
    <row r="52" spans="1:8" x14ac:dyDescent="0.25">
      <c r="A52" t="s">
        <v>199</v>
      </c>
      <c r="B52" t="s">
        <v>198</v>
      </c>
      <c r="C52">
        <v>36.537512005046942</v>
      </c>
      <c r="D52">
        <v>35</v>
      </c>
      <c r="E52">
        <v>0</v>
      </c>
      <c r="F52">
        <v>96</v>
      </c>
      <c r="G52">
        <v>1048</v>
      </c>
      <c r="H52">
        <v>7605</v>
      </c>
    </row>
    <row r="53" spans="1:8" x14ac:dyDescent="0.25">
      <c r="A53" t="s">
        <v>200</v>
      </c>
      <c r="B53" t="s">
        <v>198</v>
      </c>
      <c r="C53">
        <v>33.928631149751972</v>
      </c>
      <c r="D53">
        <v>34</v>
      </c>
      <c r="E53">
        <v>0</v>
      </c>
      <c r="F53">
        <v>96</v>
      </c>
      <c r="G53">
        <v>1125</v>
      </c>
      <c r="H53">
        <v>7605</v>
      </c>
    </row>
    <row r="54" spans="1:8" x14ac:dyDescent="0.25">
      <c r="A54" t="s">
        <v>201</v>
      </c>
      <c r="B54" t="s">
        <v>198</v>
      </c>
      <c r="C54">
        <v>34.62600960827529</v>
      </c>
      <c r="D54">
        <v>35</v>
      </c>
      <c r="E54">
        <v>0</v>
      </c>
      <c r="F54">
        <v>96</v>
      </c>
      <c r="G54">
        <v>755</v>
      </c>
      <c r="H54">
        <v>7605</v>
      </c>
    </row>
    <row r="55" spans="1:8" x14ac:dyDescent="0.25">
      <c r="A55" t="s">
        <v>202</v>
      </c>
      <c r="B55" t="s">
        <v>198</v>
      </c>
      <c r="C55">
        <v>35.268913344786519</v>
      </c>
      <c r="D55">
        <v>36</v>
      </c>
      <c r="E55">
        <v>0</v>
      </c>
      <c r="F55">
        <v>88</v>
      </c>
      <c r="G55">
        <v>245</v>
      </c>
      <c r="H55">
        <v>7605</v>
      </c>
    </row>
    <row r="56" spans="1:8" x14ac:dyDescent="0.25">
      <c r="A56" t="s">
        <v>199</v>
      </c>
      <c r="B56" t="s">
        <v>203</v>
      </c>
      <c r="C56">
        <v>34.495724141425363</v>
      </c>
      <c r="D56">
        <v>36</v>
      </c>
      <c r="E56">
        <v>0</v>
      </c>
      <c r="F56">
        <v>87</v>
      </c>
      <c r="G56">
        <v>1513</v>
      </c>
      <c r="H56">
        <v>7605</v>
      </c>
    </row>
    <row r="57" spans="1:8" x14ac:dyDescent="0.25">
      <c r="A57" t="s">
        <v>200</v>
      </c>
      <c r="B57" t="s">
        <v>203</v>
      </c>
      <c r="C57">
        <v>33.96928993099089</v>
      </c>
      <c r="D57">
        <v>35</v>
      </c>
      <c r="E57">
        <v>0</v>
      </c>
      <c r="F57">
        <v>91</v>
      </c>
      <c r="G57">
        <v>1495</v>
      </c>
      <c r="H57">
        <v>7605</v>
      </c>
    </row>
    <row r="58" spans="1:8" x14ac:dyDescent="0.25">
      <c r="A58" t="s">
        <v>201</v>
      </c>
      <c r="B58" t="s">
        <v>203</v>
      </c>
      <c r="C58">
        <v>34.915357844145603</v>
      </c>
      <c r="D58">
        <v>35</v>
      </c>
      <c r="E58">
        <v>0</v>
      </c>
      <c r="F58">
        <v>93</v>
      </c>
      <c r="G58">
        <v>938</v>
      </c>
      <c r="H58">
        <v>7605</v>
      </c>
    </row>
    <row r="59" spans="1:8" x14ac:dyDescent="0.25">
      <c r="A59" t="s">
        <v>202</v>
      </c>
      <c r="B59" t="s">
        <v>203</v>
      </c>
      <c r="C59">
        <v>32.820680394507541</v>
      </c>
      <c r="D59">
        <v>35</v>
      </c>
      <c r="E59">
        <v>0</v>
      </c>
      <c r="F59">
        <v>77</v>
      </c>
      <c r="G59">
        <v>270</v>
      </c>
      <c r="H59">
        <v>7605</v>
      </c>
    </row>
    <row r="60" spans="1:8" x14ac:dyDescent="0.25">
      <c r="A60" t="s">
        <v>204</v>
      </c>
      <c r="B60" t="s">
        <v>204</v>
      </c>
      <c r="C60">
        <v>34.87716637650535</v>
      </c>
      <c r="D60">
        <v>35</v>
      </c>
      <c r="E60">
        <v>0</v>
      </c>
      <c r="F60">
        <v>96</v>
      </c>
      <c r="G60">
        <v>7605</v>
      </c>
      <c r="H60">
        <v>7605</v>
      </c>
    </row>
    <row r="62" spans="1:8" x14ac:dyDescent="0.25">
      <c r="A62" t="s">
        <v>213</v>
      </c>
    </row>
    <row r="63" spans="1:8" x14ac:dyDescent="0.25">
      <c r="A63" t="s">
        <v>190</v>
      </c>
      <c r="B63" t="s">
        <v>195</v>
      </c>
      <c r="C63" t="s">
        <v>189</v>
      </c>
      <c r="D63" t="s">
        <v>196</v>
      </c>
      <c r="E63" t="s">
        <v>214</v>
      </c>
      <c r="F63" t="s">
        <v>215</v>
      </c>
      <c r="G63" t="s">
        <v>216</v>
      </c>
    </row>
    <row r="64" spans="1:8" x14ac:dyDescent="0.25">
      <c r="A64" t="s">
        <v>198</v>
      </c>
      <c r="B64">
        <v>216</v>
      </c>
      <c r="C64" t="s">
        <v>197</v>
      </c>
      <c r="D64">
        <v>7605</v>
      </c>
      <c r="E64" s="1">
        <v>0.42120000000000002</v>
      </c>
      <c r="G64" s="1">
        <v>0.57879999999999998</v>
      </c>
    </row>
    <row r="65" spans="1:14" x14ac:dyDescent="0.25">
      <c r="A65" t="s">
        <v>198</v>
      </c>
      <c r="B65">
        <v>1048</v>
      </c>
      <c r="C65" t="s">
        <v>199</v>
      </c>
      <c r="D65">
        <v>7605</v>
      </c>
      <c r="E65" s="1">
        <v>0.42299999999999999</v>
      </c>
      <c r="G65" s="1">
        <v>0.57699999999999996</v>
      </c>
    </row>
    <row r="66" spans="1:14" x14ac:dyDescent="0.25">
      <c r="A66" t="s">
        <v>198</v>
      </c>
      <c r="B66">
        <v>1125</v>
      </c>
      <c r="C66" t="s">
        <v>200</v>
      </c>
      <c r="D66">
        <v>7605</v>
      </c>
      <c r="E66" s="1">
        <v>0.44240000000000002</v>
      </c>
      <c r="G66" s="1">
        <v>0.55759999999999998</v>
      </c>
    </row>
    <row r="67" spans="1:14" x14ac:dyDescent="0.25">
      <c r="A67" t="s">
        <v>198</v>
      </c>
      <c r="B67">
        <v>755</v>
      </c>
      <c r="C67" t="s">
        <v>201</v>
      </c>
      <c r="D67">
        <v>7605</v>
      </c>
      <c r="E67" s="1">
        <v>0.41539999999999999</v>
      </c>
      <c r="F67" s="1">
        <v>1E-4</v>
      </c>
      <c r="G67" s="1">
        <v>0.58450000000000002</v>
      </c>
    </row>
    <row r="68" spans="1:14" x14ac:dyDescent="0.25">
      <c r="A68" t="s">
        <v>198</v>
      </c>
      <c r="B68">
        <v>245</v>
      </c>
      <c r="C68" t="s">
        <v>202</v>
      </c>
      <c r="D68">
        <v>7605</v>
      </c>
      <c r="E68" s="1">
        <v>0.37680000000000002</v>
      </c>
      <c r="G68" s="1">
        <v>0.62319999999999998</v>
      </c>
    </row>
    <row r="69" spans="1:14" x14ac:dyDescent="0.25">
      <c r="A69" t="s">
        <v>203</v>
      </c>
      <c r="B69">
        <v>1513</v>
      </c>
      <c r="C69" t="s">
        <v>199</v>
      </c>
      <c r="D69">
        <v>7605</v>
      </c>
      <c r="E69" s="1">
        <v>0.47110000000000002</v>
      </c>
      <c r="G69" s="1">
        <v>0.52890000000000004</v>
      </c>
    </row>
    <row r="70" spans="1:14" x14ac:dyDescent="0.25">
      <c r="A70" t="s">
        <v>203</v>
      </c>
      <c r="B70">
        <v>1495</v>
      </c>
      <c r="C70" t="s">
        <v>200</v>
      </c>
      <c r="D70">
        <v>7605</v>
      </c>
      <c r="E70" s="1">
        <v>0.4612</v>
      </c>
      <c r="G70" s="1">
        <v>0.53879999999999995</v>
      </c>
    </row>
    <row r="71" spans="1:14" x14ac:dyDescent="0.25">
      <c r="A71" t="s">
        <v>203</v>
      </c>
      <c r="B71">
        <v>938</v>
      </c>
      <c r="C71" t="s">
        <v>201</v>
      </c>
      <c r="D71">
        <v>7605</v>
      </c>
      <c r="E71" s="1">
        <v>0.4491</v>
      </c>
      <c r="G71" s="1">
        <v>0.55089999999999995</v>
      </c>
    </row>
    <row r="72" spans="1:14" x14ac:dyDescent="0.25">
      <c r="A72" t="s">
        <v>203</v>
      </c>
      <c r="B72">
        <v>270</v>
      </c>
      <c r="C72" t="s">
        <v>202</v>
      </c>
      <c r="D72">
        <v>7605</v>
      </c>
      <c r="E72" s="1">
        <v>0.4345</v>
      </c>
      <c r="G72" s="1">
        <v>0.5655</v>
      </c>
    </row>
    <row r="73" spans="1:14" x14ac:dyDescent="0.25">
      <c r="A73" t="s">
        <v>204</v>
      </c>
      <c r="B73">
        <v>7605</v>
      </c>
      <c r="C73" t="s">
        <v>204</v>
      </c>
      <c r="D73">
        <v>7605</v>
      </c>
      <c r="E73" s="1">
        <v>0.44140000000000001</v>
      </c>
      <c r="F73" s="1">
        <v>0</v>
      </c>
      <c r="G73" s="1">
        <v>0.55859999999999999</v>
      </c>
    </row>
    <row r="75" spans="1:14" x14ac:dyDescent="0.25">
      <c r="A75" t="s">
        <v>217</v>
      </c>
    </row>
    <row r="76" spans="1:14" x14ac:dyDescent="0.25">
      <c r="A76" t="s">
        <v>190</v>
      </c>
      <c r="B76" t="s">
        <v>195</v>
      </c>
      <c r="C76" t="s">
        <v>189</v>
      </c>
      <c r="D76" t="s">
        <v>196</v>
      </c>
      <c r="E76" t="s">
        <v>218</v>
      </c>
      <c r="F76" t="s">
        <v>219</v>
      </c>
      <c r="G76" t="s">
        <v>220</v>
      </c>
      <c r="H76" t="s">
        <v>221</v>
      </c>
      <c r="I76" t="s">
        <v>222</v>
      </c>
      <c r="J76" t="s">
        <v>223</v>
      </c>
      <c r="K76" t="s">
        <v>215</v>
      </c>
      <c r="L76" t="s">
        <v>224</v>
      </c>
      <c r="M76" t="s">
        <v>225</v>
      </c>
      <c r="N76" t="s">
        <v>226</v>
      </c>
    </row>
    <row r="77" spans="1:14" x14ac:dyDescent="0.25">
      <c r="A77" t="s">
        <v>198</v>
      </c>
      <c r="B77">
        <v>115</v>
      </c>
      <c r="C77" t="s">
        <v>197</v>
      </c>
      <c r="D77">
        <v>3925</v>
      </c>
      <c r="E77" s="1">
        <v>7.7000000000000002E-3</v>
      </c>
      <c r="F77" s="1">
        <v>7.0300000000000001E-2</v>
      </c>
      <c r="J77" s="1">
        <v>7.7000000000000002E-3</v>
      </c>
      <c r="L77" s="1">
        <v>1.9199999999999998E-2</v>
      </c>
      <c r="M77" s="1">
        <v>0.45850000000000002</v>
      </c>
      <c r="N77" s="1">
        <v>0.43659999999999999</v>
      </c>
    </row>
    <row r="78" spans="1:14" x14ac:dyDescent="0.25">
      <c r="A78" t="s">
        <v>198</v>
      </c>
      <c r="B78">
        <v>512</v>
      </c>
      <c r="C78" t="s">
        <v>199</v>
      </c>
      <c r="D78">
        <v>3925</v>
      </c>
      <c r="E78" s="1">
        <v>4.1200000000000001E-2</v>
      </c>
      <c r="F78" s="1">
        <v>0.15240000000000001</v>
      </c>
      <c r="G78" s="1">
        <v>5.9999999999999995E-4</v>
      </c>
      <c r="I78" s="1">
        <v>4.4999999999999997E-3</v>
      </c>
      <c r="J78" s="1">
        <v>1.18E-2</v>
      </c>
      <c r="L78" s="1">
        <v>4.4000000000000003E-3</v>
      </c>
      <c r="M78" s="1">
        <v>0.40260000000000001</v>
      </c>
      <c r="N78" s="1">
        <v>0.38250000000000001</v>
      </c>
    </row>
    <row r="79" spans="1:14" x14ac:dyDescent="0.25">
      <c r="A79" t="s">
        <v>198</v>
      </c>
      <c r="B79">
        <v>577</v>
      </c>
      <c r="C79" t="s">
        <v>200</v>
      </c>
      <c r="D79">
        <v>3925</v>
      </c>
      <c r="E79" s="1">
        <v>2.0500000000000001E-2</v>
      </c>
      <c r="F79" s="1">
        <v>0.19309999999999999</v>
      </c>
      <c r="G79" s="1">
        <v>1.5E-3</v>
      </c>
      <c r="I79" s="1">
        <v>5.0000000000000001E-4</v>
      </c>
      <c r="J79" s="1">
        <v>3.0999999999999999E-3</v>
      </c>
      <c r="K79" s="1">
        <v>1.1999999999999999E-3</v>
      </c>
      <c r="L79" s="1">
        <v>3.2000000000000002E-3</v>
      </c>
      <c r="M79" s="1">
        <v>0.50049999999999994</v>
      </c>
      <c r="N79" s="1">
        <v>0.27650000000000002</v>
      </c>
    </row>
    <row r="80" spans="1:14" x14ac:dyDescent="0.25">
      <c r="A80" t="s">
        <v>198</v>
      </c>
      <c r="B80">
        <v>358</v>
      </c>
      <c r="C80" t="s">
        <v>201</v>
      </c>
      <c r="D80">
        <v>3925</v>
      </c>
      <c r="E80" s="1">
        <v>4.6100000000000002E-2</v>
      </c>
      <c r="F80" s="1">
        <v>0.1547</v>
      </c>
      <c r="G80" s="1">
        <v>3.0000000000000001E-3</v>
      </c>
      <c r="I80" s="1">
        <v>3.5000000000000001E-3</v>
      </c>
      <c r="J80" s="1">
        <v>9.1999999999999998E-3</v>
      </c>
      <c r="L80" s="1">
        <v>4.0000000000000001E-3</v>
      </c>
      <c r="M80" s="1">
        <v>0.3856</v>
      </c>
      <c r="N80" s="1">
        <v>0.39389999999999997</v>
      </c>
    </row>
    <row r="81" spans="1:15" x14ac:dyDescent="0.25">
      <c r="A81" t="s">
        <v>198</v>
      </c>
      <c r="B81">
        <v>126</v>
      </c>
      <c r="C81" t="s">
        <v>202</v>
      </c>
      <c r="D81">
        <v>3925</v>
      </c>
      <c r="E81" s="1">
        <v>6.0299999999999999E-2</v>
      </c>
      <c r="F81" s="1">
        <v>8.0399999999999999E-2</v>
      </c>
      <c r="M81" s="1">
        <v>0.58409999999999995</v>
      </c>
      <c r="N81" s="1">
        <v>0.2752</v>
      </c>
    </row>
    <row r="82" spans="1:15" x14ac:dyDescent="0.25">
      <c r="A82" t="s">
        <v>203</v>
      </c>
      <c r="B82">
        <v>795</v>
      </c>
      <c r="C82" t="s">
        <v>199</v>
      </c>
      <c r="D82">
        <v>3925</v>
      </c>
      <c r="E82" s="1">
        <v>2.18E-2</v>
      </c>
      <c r="F82" s="1">
        <v>7.3599999999999999E-2</v>
      </c>
      <c r="G82" s="1">
        <v>1.8E-3</v>
      </c>
      <c r="J82" s="1">
        <v>1.55E-2</v>
      </c>
      <c r="L82" s="1">
        <v>1E-3</v>
      </c>
      <c r="M82" s="1">
        <v>0.47899999999999998</v>
      </c>
      <c r="N82" s="1">
        <v>0.4073</v>
      </c>
    </row>
    <row r="83" spans="1:15" x14ac:dyDescent="0.25">
      <c r="A83" t="s">
        <v>203</v>
      </c>
      <c r="B83">
        <v>808</v>
      </c>
      <c r="C83" t="s">
        <v>200</v>
      </c>
      <c r="D83">
        <v>3925</v>
      </c>
      <c r="E83" s="1">
        <v>1.5599999999999999E-2</v>
      </c>
      <c r="F83" s="1">
        <v>6.8900000000000003E-2</v>
      </c>
      <c r="G83" s="1">
        <v>0</v>
      </c>
      <c r="H83" s="1">
        <v>2.8E-3</v>
      </c>
      <c r="J83" s="1">
        <v>1.0800000000000001E-2</v>
      </c>
      <c r="K83" s="1">
        <v>1.1999999999999999E-3</v>
      </c>
      <c r="L83" s="1">
        <v>5.7000000000000002E-3</v>
      </c>
      <c r="M83" s="1">
        <v>0.65410000000000001</v>
      </c>
      <c r="N83" s="1">
        <v>0.2409</v>
      </c>
    </row>
    <row r="84" spans="1:15" x14ac:dyDescent="0.25">
      <c r="A84" t="s">
        <v>203</v>
      </c>
      <c r="B84">
        <v>499</v>
      </c>
      <c r="C84" t="s">
        <v>201</v>
      </c>
      <c r="D84">
        <v>3925</v>
      </c>
      <c r="E84" s="1">
        <v>1.67E-2</v>
      </c>
      <c r="F84" s="1">
        <v>9.3200000000000005E-2</v>
      </c>
      <c r="G84" s="1">
        <v>6.9999999999999999E-4</v>
      </c>
      <c r="J84" s="1">
        <v>1.4200000000000001E-2</v>
      </c>
      <c r="K84" s="1">
        <v>1.5E-3</v>
      </c>
      <c r="L84" s="1">
        <v>5.1000000000000004E-3</v>
      </c>
      <c r="M84" s="1">
        <v>0.55100000000000005</v>
      </c>
      <c r="N84" s="1">
        <v>0.3175</v>
      </c>
    </row>
    <row r="85" spans="1:15" x14ac:dyDescent="0.25">
      <c r="A85" t="s">
        <v>203</v>
      </c>
      <c r="B85">
        <v>135</v>
      </c>
      <c r="C85" t="s">
        <v>202</v>
      </c>
      <c r="D85">
        <v>3925</v>
      </c>
      <c r="E85" s="1">
        <v>2.52E-2</v>
      </c>
      <c r="F85" s="1">
        <v>7.4099999999999999E-2</v>
      </c>
      <c r="I85" s="1">
        <v>3.3E-3</v>
      </c>
      <c r="L85" s="1">
        <v>3.3E-3</v>
      </c>
      <c r="M85" s="1">
        <v>0.60460000000000003</v>
      </c>
      <c r="N85" s="1">
        <v>0.28949999999999998</v>
      </c>
    </row>
    <row r="86" spans="1:15" x14ac:dyDescent="0.25">
      <c r="A86" t="s">
        <v>204</v>
      </c>
      <c r="B86">
        <v>3925</v>
      </c>
      <c r="C86" t="s">
        <v>204</v>
      </c>
      <c r="D86">
        <v>3925</v>
      </c>
      <c r="E86" s="1">
        <v>2.5100000000000001E-2</v>
      </c>
      <c r="F86" s="1">
        <v>0.10100000000000001</v>
      </c>
      <c r="G86" s="1">
        <v>6.9999999999999999E-4</v>
      </c>
      <c r="H86" s="1">
        <v>8.9999999999999998E-4</v>
      </c>
      <c r="I86" s="1">
        <v>8.9999999999999998E-4</v>
      </c>
      <c r="J86" s="1">
        <v>9.1000000000000004E-3</v>
      </c>
      <c r="K86" s="1">
        <v>5.9999999999999995E-4</v>
      </c>
      <c r="L86" s="1">
        <v>4.7000000000000002E-3</v>
      </c>
      <c r="M86" s="1">
        <v>0.54339999999999999</v>
      </c>
      <c r="N86" s="1">
        <v>0.3135</v>
      </c>
    </row>
    <row r="88" spans="1:15" x14ac:dyDescent="0.25">
      <c r="A88" t="s">
        <v>227</v>
      </c>
    </row>
    <row r="89" spans="1:15" x14ac:dyDescent="0.25">
      <c r="A89" t="s">
        <v>190</v>
      </c>
      <c r="B89" t="s">
        <v>206</v>
      </c>
      <c r="C89" t="s">
        <v>195</v>
      </c>
      <c r="D89" t="s">
        <v>189</v>
      </c>
      <c r="E89" t="s">
        <v>196</v>
      </c>
      <c r="F89" t="s">
        <v>218</v>
      </c>
      <c r="G89" t="s">
        <v>219</v>
      </c>
      <c r="H89" t="s">
        <v>220</v>
      </c>
      <c r="I89" t="s">
        <v>221</v>
      </c>
      <c r="J89" t="s">
        <v>222</v>
      </c>
      <c r="K89" t="s">
        <v>223</v>
      </c>
      <c r="L89" t="s">
        <v>215</v>
      </c>
      <c r="M89" t="s">
        <v>224</v>
      </c>
      <c r="N89" t="s">
        <v>225</v>
      </c>
      <c r="O89" t="s">
        <v>226</v>
      </c>
    </row>
    <row r="90" spans="1:15" x14ac:dyDescent="0.25">
      <c r="A90" t="s">
        <v>198</v>
      </c>
      <c r="B90" t="s">
        <v>228</v>
      </c>
      <c r="C90">
        <v>46</v>
      </c>
      <c r="D90" t="s">
        <v>197</v>
      </c>
      <c r="E90">
        <v>3925</v>
      </c>
      <c r="F90" s="1">
        <v>1.78E-2</v>
      </c>
      <c r="G90" s="1">
        <v>0.115</v>
      </c>
      <c r="M90" s="1">
        <v>2.2200000000000001E-2</v>
      </c>
      <c r="N90" s="1">
        <v>0.32919999999999999</v>
      </c>
      <c r="O90" s="1">
        <v>0.51570000000000005</v>
      </c>
    </row>
    <row r="91" spans="1:15" x14ac:dyDescent="0.25">
      <c r="A91" t="s">
        <v>198</v>
      </c>
      <c r="B91" t="s">
        <v>229</v>
      </c>
      <c r="C91">
        <v>69</v>
      </c>
      <c r="D91" t="s">
        <v>197</v>
      </c>
      <c r="E91">
        <v>3925</v>
      </c>
      <c r="G91" s="1">
        <v>3.6299999999999999E-2</v>
      </c>
      <c r="K91" s="1">
        <v>1.3599999999999999E-2</v>
      </c>
      <c r="M91" s="1">
        <v>1.6899999999999998E-2</v>
      </c>
      <c r="N91" s="1">
        <v>0.55679999999999996</v>
      </c>
      <c r="O91" s="1">
        <v>0.37640000000000001</v>
      </c>
    </row>
    <row r="92" spans="1:15" x14ac:dyDescent="0.25">
      <c r="A92" t="s">
        <v>198</v>
      </c>
      <c r="B92" t="s">
        <v>228</v>
      </c>
      <c r="C92">
        <v>204</v>
      </c>
      <c r="D92" t="s">
        <v>199</v>
      </c>
      <c r="E92">
        <v>3925</v>
      </c>
      <c r="F92" s="1">
        <v>6.5100000000000005E-2</v>
      </c>
      <c r="G92" s="1">
        <v>0.14230000000000001</v>
      </c>
      <c r="H92" s="1">
        <v>2.3999999999999998E-3</v>
      </c>
      <c r="M92" s="1">
        <v>7.9000000000000008E-3</v>
      </c>
      <c r="N92" s="1">
        <v>0.37140000000000001</v>
      </c>
      <c r="O92" s="1">
        <v>0.41089999999999999</v>
      </c>
    </row>
    <row r="93" spans="1:15" x14ac:dyDescent="0.25">
      <c r="A93" t="s">
        <v>198</v>
      </c>
      <c r="B93" t="s">
        <v>229</v>
      </c>
      <c r="C93">
        <v>291</v>
      </c>
      <c r="D93" t="s">
        <v>199</v>
      </c>
      <c r="E93">
        <v>3925</v>
      </c>
      <c r="F93" s="1">
        <v>3.2800000000000003E-2</v>
      </c>
      <c r="G93" s="1">
        <v>0.154</v>
      </c>
      <c r="J93" s="1">
        <v>6.1000000000000004E-3</v>
      </c>
      <c r="K93" s="1">
        <v>1.6199999999999999E-2</v>
      </c>
      <c r="M93" s="1">
        <v>2.3E-3</v>
      </c>
      <c r="N93" s="1">
        <v>0.41670000000000001</v>
      </c>
      <c r="O93" s="1">
        <v>0.37180000000000002</v>
      </c>
    </row>
    <row r="94" spans="1:15" x14ac:dyDescent="0.25">
      <c r="A94" t="s">
        <v>198</v>
      </c>
      <c r="B94" t="s">
        <v>229</v>
      </c>
      <c r="C94">
        <v>395</v>
      </c>
      <c r="D94" t="s">
        <v>200</v>
      </c>
      <c r="E94">
        <v>3925</v>
      </c>
      <c r="F94" s="1">
        <v>2.5700000000000001E-2</v>
      </c>
      <c r="G94" s="1">
        <v>0.15329999999999999</v>
      </c>
      <c r="H94" s="1">
        <v>2E-3</v>
      </c>
      <c r="J94" s="1">
        <v>5.9999999999999995E-4</v>
      </c>
      <c r="K94" s="1">
        <v>4.1000000000000003E-3</v>
      </c>
      <c r="L94" s="1">
        <v>1.5E-3</v>
      </c>
      <c r="M94" s="1">
        <v>2.3E-3</v>
      </c>
      <c r="N94" s="1">
        <v>0.5675</v>
      </c>
      <c r="O94" s="1">
        <v>0.2429</v>
      </c>
    </row>
    <row r="95" spans="1:15" x14ac:dyDescent="0.25">
      <c r="A95" t="s">
        <v>198</v>
      </c>
      <c r="B95" t="s">
        <v>228</v>
      </c>
      <c r="C95">
        <v>175</v>
      </c>
      <c r="D95" t="s">
        <v>200</v>
      </c>
      <c r="E95">
        <v>3925</v>
      </c>
      <c r="F95" s="1">
        <v>5.4999999999999997E-3</v>
      </c>
      <c r="G95" s="1">
        <v>0.32019999999999998</v>
      </c>
      <c r="M95" s="1">
        <v>6.1999999999999998E-3</v>
      </c>
      <c r="N95" s="1">
        <v>0.28079999999999999</v>
      </c>
      <c r="O95" s="1">
        <v>0.38740000000000002</v>
      </c>
    </row>
    <row r="96" spans="1:15" x14ac:dyDescent="0.25">
      <c r="A96" t="s">
        <v>198</v>
      </c>
      <c r="B96" t="s">
        <v>228</v>
      </c>
      <c r="C96">
        <v>133</v>
      </c>
      <c r="D96" t="s">
        <v>201</v>
      </c>
      <c r="E96">
        <v>3925</v>
      </c>
      <c r="F96" s="1">
        <v>4.8599999999999997E-2</v>
      </c>
      <c r="G96" s="1">
        <v>0.1767</v>
      </c>
      <c r="H96" s="1">
        <v>1.1900000000000001E-2</v>
      </c>
      <c r="J96" s="1">
        <v>1.6299999999999999E-2</v>
      </c>
      <c r="M96" s="1">
        <v>2.3E-3</v>
      </c>
      <c r="N96" s="1">
        <v>0.34960000000000002</v>
      </c>
      <c r="O96" s="1">
        <v>0.39460000000000001</v>
      </c>
    </row>
    <row r="97" spans="1:21" x14ac:dyDescent="0.25">
      <c r="A97" t="s">
        <v>198</v>
      </c>
      <c r="B97" t="s">
        <v>229</v>
      </c>
      <c r="C97">
        <v>217</v>
      </c>
      <c r="D97" t="s">
        <v>201</v>
      </c>
      <c r="E97">
        <v>3925</v>
      </c>
      <c r="F97" s="1">
        <v>4.5900000000000003E-2</v>
      </c>
      <c r="G97" s="1">
        <v>0.1489</v>
      </c>
      <c r="H97" s="1">
        <v>5.9999999999999995E-4</v>
      </c>
      <c r="K97" s="1">
        <v>1.18E-2</v>
      </c>
      <c r="M97" s="1">
        <v>4.4999999999999997E-3</v>
      </c>
      <c r="N97" s="1">
        <v>0.3911</v>
      </c>
      <c r="O97" s="1">
        <v>0.3972</v>
      </c>
    </row>
    <row r="98" spans="1:21" x14ac:dyDescent="0.25">
      <c r="A98" t="s">
        <v>198</v>
      </c>
      <c r="B98" t="s">
        <v>228</v>
      </c>
      <c r="C98">
        <v>38</v>
      </c>
      <c r="D98" t="s">
        <v>202</v>
      </c>
      <c r="E98">
        <v>3925</v>
      </c>
      <c r="F98" s="1">
        <v>9.2100000000000001E-2</v>
      </c>
      <c r="G98" s="1">
        <v>0.19700000000000001</v>
      </c>
      <c r="N98" s="1">
        <v>0.25380000000000003</v>
      </c>
      <c r="O98" s="1">
        <v>0.45710000000000001</v>
      </c>
    </row>
    <row r="99" spans="1:21" x14ac:dyDescent="0.25">
      <c r="A99" t="s">
        <v>198</v>
      </c>
      <c r="B99" t="s">
        <v>229</v>
      </c>
      <c r="C99">
        <v>88</v>
      </c>
      <c r="D99" t="s">
        <v>202</v>
      </c>
      <c r="E99">
        <v>3925</v>
      </c>
      <c r="F99" s="1">
        <v>5.0799999999999998E-2</v>
      </c>
      <c r="G99" s="1">
        <v>4.5400000000000003E-2</v>
      </c>
      <c r="N99" s="1">
        <v>0.68330000000000002</v>
      </c>
      <c r="O99" s="1">
        <v>0.2205</v>
      </c>
    </row>
    <row r="100" spans="1:21" x14ac:dyDescent="0.25">
      <c r="A100" t="s">
        <v>203</v>
      </c>
      <c r="B100" t="s">
        <v>229</v>
      </c>
      <c r="C100">
        <v>561</v>
      </c>
      <c r="D100" t="s">
        <v>199</v>
      </c>
      <c r="E100">
        <v>3925</v>
      </c>
      <c r="F100" s="1">
        <v>1.8599999999999998E-2</v>
      </c>
      <c r="G100" s="1">
        <v>6.5000000000000002E-2</v>
      </c>
      <c r="H100" s="1">
        <v>1.6999999999999999E-3</v>
      </c>
      <c r="K100" s="1">
        <v>1.72E-2</v>
      </c>
      <c r="M100" s="1">
        <v>1.1000000000000001E-3</v>
      </c>
      <c r="N100" s="1">
        <v>0.49059999999999998</v>
      </c>
      <c r="O100" s="1">
        <v>0.40570000000000001</v>
      </c>
    </row>
    <row r="101" spans="1:21" x14ac:dyDescent="0.25">
      <c r="A101" t="s">
        <v>203</v>
      </c>
      <c r="B101" t="s">
        <v>228</v>
      </c>
      <c r="C101">
        <v>217</v>
      </c>
      <c r="D101" t="s">
        <v>199</v>
      </c>
      <c r="E101">
        <v>3925</v>
      </c>
      <c r="F101" s="1">
        <v>5.2299999999999999E-2</v>
      </c>
      <c r="G101" s="1">
        <v>0.1431</v>
      </c>
      <c r="H101" s="1">
        <v>3.0999999999999999E-3</v>
      </c>
      <c r="K101" s="1">
        <v>5.9999999999999995E-4</v>
      </c>
      <c r="N101" s="1">
        <v>0.37940000000000002</v>
      </c>
      <c r="O101" s="1">
        <v>0.42149999999999999</v>
      </c>
    </row>
    <row r="102" spans="1:21" x14ac:dyDescent="0.25">
      <c r="A102" t="s">
        <v>203</v>
      </c>
      <c r="B102" t="s">
        <v>229</v>
      </c>
      <c r="C102">
        <v>552</v>
      </c>
      <c r="D102" t="s">
        <v>200</v>
      </c>
      <c r="E102">
        <v>3925</v>
      </c>
      <c r="F102" s="1">
        <v>1.38E-2</v>
      </c>
      <c r="G102" s="1">
        <v>4.8599999999999997E-2</v>
      </c>
      <c r="H102" s="1">
        <v>1E-4</v>
      </c>
      <c r="I102" s="1">
        <v>3.2000000000000002E-3</v>
      </c>
      <c r="K102" s="1">
        <v>1.0200000000000001E-2</v>
      </c>
      <c r="M102" s="1">
        <v>7.1000000000000004E-3</v>
      </c>
      <c r="N102" s="1">
        <v>0.70309999999999995</v>
      </c>
      <c r="O102" s="1">
        <v>0.214</v>
      </c>
    </row>
    <row r="103" spans="1:21" x14ac:dyDescent="0.25">
      <c r="A103" t="s">
        <v>203</v>
      </c>
      <c r="B103" t="s">
        <v>228</v>
      </c>
      <c r="C103">
        <v>254</v>
      </c>
      <c r="D103" t="s">
        <v>200</v>
      </c>
      <c r="E103">
        <v>3925</v>
      </c>
      <c r="F103" s="1">
        <v>2.2499999999999999E-2</v>
      </c>
      <c r="G103" s="1">
        <v>0.14799999999999999</v>
      </c>
      <c r="I103" s="1">
        <v>1.2999999999999999E-3</v>
      </c>
      <c r="K103" s="1">
        <v>1.32E-2</v>
      </c>
      <c r="L103" s="1">
        <v>6.0000000000000001E-3</v>
      </c>
      <c r="M103" s="1">
        <v>2.0000000000000001E-4</v>
      </c>
      <c r="N103" s="1">
        <v>0.4632</v>
      </c>
      <c r="O103" s="1">
        <v>0.34560000000000002</v>
      </c>
    </row>
    <row r="104" spans="1:21" x14ac:dyDescent="0.25">
      <c r="A104" t="s">
        <v>203</v>
      </c>
      <c r="B104" t="s">
        <v>229</v>
      </c>
      <c r="C104">
        <v>220</v>
      </c>
      <c r="D104" t="s">
        <v>201</v>
      </c>
      <c r="E104">
        <v>3925</v>
      </c>
      <c r="F104" s="1">
        <v>5.8999999999999999E-3</v>
      </c>
      <c r="G104" s="1">
        <v>5.5300000000000002E-2</v>
      </c>
      <c r="L104" s="1">
        <v>1.9E-3</v>
      </c>
      <c r="N104" s="1">
        <v>0.62980000000000003</v>
      </c>
      <c r="O104" s="1">
        <v>0.30709999999999998</v>
      </c>
    </row>
    <row r="105" spans="1:21" x14ac:dyDescent="0.25">
      <c r="A105" t="s">
        <v>203</v>
      </c>
      <c r="B105" t="s">
        <v>228</v>
      </c>
      <c r="C105">
        <v>269</v>
      </c>
      <c r="D105" t="s">
        <v>201</v>
      </c>
      <c r="E105">
        <v>3925</v>
      </c>
      <c r="F105" s="1">
        <v>5.1700000000000003E-2</v>
      </c>
      <c r="G105" s="1">
        <v>0.2175</v>
      </c>
      <c r="H105" s="1">
        <v>3.0999999999999999E-3</v>
      </c>
      <c r="K105" s="1">
        <v>6.0600000000000001E-2</v>
      </c>
      <c r="M105" s="1">
        <v>2.1700000000000001E-2</v>
      </c>
      <c r="N105" s="1">
        <v>0.29189999999999999</v>
      </c>
      <c r="O105" s="1">
        <v>0.35360000000000003</v>
      </c>
    </row>
    <row r="106" spans="1:21" x14ac:dyDescent="0.25">
      <c r="A106" t="s">
        <v>203</v>
      </c>
      <c r="B106" t="s">
        <v>228</v>
      </c>
      <c r="C106">
        <v>51</v>
      </c>
      <c r="D106" t="s">
        <v>202</v>
      </c>
      <c r="E106">
        <v>3925</v>
      </c>
      <c r="F106" s="1">
        <v>9.1999999999999998E-3</v>
      </c>
      <c r="G106" s="1">
        <v>8.72E-2</v>
      </c>
      <c r="N106" s="1">
        <v>0.36840000000000001</v>
      </c>
      <c r="O106" s="1">
        <v>0.53520000000000001</v>
      </c>
    </row>
    <row r="107" spans="1:21" x14ac:dyDescent="0.25">
      <c r="A107" t="s">
        <v>203</v>
      </c>
      <c r="B107" t="s">
        <v>229</v>
      </c>
      <c r="C107">
        <v>84</v>
      </c>
      <c r="D107" t="s">
        <v>202</v>
      </c>
      <c r="E107">
        <v>3925</v>
      </c>
      <c r="F107" s="1">
        <v>3.1199999999999999E-2</v>
      </c>
      <c r="G107" s="1">
        <v>6.9199999999999998E-2</v>
      </c>
      <c r="J107" s="1">
        <v>4.4999999999999997E-3</v>
      </c>
      <c r="M107" s="1">
        <v>4.4999999999999997E-3</v>
      </c>
      <c r="N107" s="1">
        <v>0.69279999999999997</v>
      </c>
      <c r="O107" s="1">
        <v>0.1978</v>
      </c>
    </row>
    <row r="108" spans="1:21" x14ac:dyDescent="0.25">
      <c r="A108" t="s">
        <v>204</v>
      </c>
      <c r="B108" t="s">
        <v>204</v>
      </c>
      <c r="C108">
        <v>3925</v>
      </c>
      <c r="D108" t="s">
        <v>204</v>
      </c>
      <c r="E108">
        <v>3925</v>
      </c>
      <c r="F108" s="1">
        <v>2.5100000000000001E-2</v>
      </c>
      <c r="G108" s="1">
        <v>0.10100000000000001</v>
      </c>
      <c r="H108" s="1">
        <v>6.9999999999999999E-4</v>
      </c>
      <c r="I108" s="1">
        <v>8.9999999999999998E-4</v>
      </c>
      <c r="J108" s="1">
        <v>8.9999999999999998E-4</v>
      </c>
      <c r="K108" s="1">
        <v>9.1000000000000004E-3</v>
      </c>
      <c r="L108" s="1">
        <v>5.9999999999999995E-4</v>
      </c>
      <c r="M108" s="1">
        <v>4.7000000000000002E-3</v>
      </c>
      <c r="N108" s="1">
        <v>0.54339999999999999</v>
      </c>
      <c r="O108" s="1">
        <v>0.3135</v>
      </c>
    </row>
    <row r="110" spans="1:21" x14ac:dyDescent="0.25">
      <c r="A110" t="s">
        <v>230</v>
      </c>
    </row>
    <row r="111" spans="1:21" x14ac:dyDescent="0.25">
      <c r="A111" t="s">
        <v>190</v>
      </c>
      <c r="B111" t="s">
        <v>195</v>
      </c>
      <c r="C111" t="s">
        <v>189</v>
      </c>
      <c r="D111" t="s">
        <v>196</v>
      </c>
      <c r="E111" t="s">
        <v>231</v>
      </c>
      <c r="F111" t="s">
        <v>220</v>
      </c>
      <c r="G111" t="s">
        <v>232</v>
      </c>
      <c r="H111" t="s">
        <v>233</v>
      </c>
      <c r="I111" t="s">
        <v>234</v>
      </c>
      <c r="J111" t="s">
        <v>235</v>
      </c>
      <c r="K111" t="s">
        <v>236</v>
      </c>
      <c r="L111" t="s">
        <v>237</v>
      </c>
      <c r="M111" t="s">
        <v>238</v>
      </c>
      <c r="N111" t="s">
        <v>215</v>
      </c>
      <c r="O111" t="s">
        <v>239</v>
      </c>
      <c r="P111" t="s">
        <v>240</v>
      </c>
      <c r="Q111" t="s">
        <v>241</v>
      </c>
      <c r="R111" t="s">
        <v>242</v>
      </c>
      <c r="S111" t="s">
        <v>243</v>
      </c>
      <c r="T111" t="s">
        <v>244</v>
      </c>
      <c r="U111" t="s">
        <v>245</v>
      </c>
    </row>
    <row r="112" spans="1:21" x14ac:dyDescent="0.25">
      <c r="A112" t="s">
        <v>198</v>
      </c>
      <c r="B112">
        <v>170</v>
      </c>
      <c r="C112" t="s">
        <v>197</v>
      </c>
      <c r="D112">
        <v>5820</v>
      </c>
      <c r="E112" s="1">
        <v>8.8999999999999999E-3</v>
      </c>
      <c r="G112" s="1">
        <v>3.6200000000000003E-2</v>
      </c>
      <c r="I112" s="1">
        <v>1.55E-2</v>
      </c>
      <c r="L112" s="1">
        <v>0.26179999999999998</v>
      </c>
      <c r="M112" s="1">
        <v>4.4299999999999999E-2</v>
      </c>
      <c r="O112" s="1">
        <v>0.34179999999999999</v>
      </c>
      <c r="Q112" s="1">
        <v>8.8999999999999999E-3</v>
      </c>
      <c r="R112" s="1">
        <v>5.4899999999999997E-2</v>
      </c>
      <c r="S112" s="1">
        <v>2.9000000000000001E-2</v>
      </c>
      <c r="T112" s="1">
        <v>0.1166</v>
      </c>
      <c r="U112" s="1">
        <v>8.2199999999999995E-2</v>
      </c>
    </row>
    <row r="113" spans="1:22" x14ac:dyDescent="0.25">
      <c r="A113" t="s">
        <v>198</v>
      </c>
      <c r="B113">
        <v>788</v>
      </c>
      <c r="C113" t="s">
        <v>199</v>
      </c>
      <c r="D113">
        <v>5820</v>
      </c>
      <c r="E113" s="1">
        <v>2.92E-2</v>
      </c>
      <c r="F113" s="1">
        <v>2.0000000000000001E-4</v>
      </c>
      <c r="G113" s="1">
        <v>5.57E-2</v>
      </c>
      <c r="H113" s="1">
        <v>5.7999999999999996E-3</v>
      </c>
      <c r="I113" s="1">
        <v>6.3E-3</v>
      </c>
      <c r="K113" s="1">
        <v>2.3E-3</v>
      </c>
      <c r="L113" s="1">
        <v>0.28120000000000001</v>
      </c>
      <c r="M113" s="1">
        <v>5.0999999999999997E-2</v>
      </c>
      <c r="O113" s="1">
        <v>0.20960000000000001</v>
      </c>
      <c r="P113" s="1">
        <v>2.6200000000000001E-2</v>
      </c>
      <c r="Q113" s="1">
        <v>4.2299999999999997E-2</v>
      </c>
      <c r="R113" s="1">
        <v>5.6300000000000003E-2</v>
      </c>
      <c r="S113" s="1">
        <v>5.2999999999999999E-2</v>
      </c>
      <c r="T113" s="1">
        <v>6.3799999999999996E-2</v>
      </c>
      <c r="U113" s="1">
        <v>0.11700000000000001</v>
      </c>
    </row>
    <row r="114" spans="1:22" x14ac:dyDescent="0.25">
      <c r="A114" t="s">
        <v>198</v>
      </c>
      <c r="B114">
        <v>850</v>
      </c>
      <c r="C114" t="s">
        <v>200</v>
      </c>
      <c r="D114">
        <v>5820</v>
      </c>
      <c r="E114" s="1">
        <v>1.5699999999999999E-2</v>
      </c>
      <c r="G114" s="1">
        <v>3.3500000000000002E-2</v>
      </c>
      <c r="H114" s="1">
        <v>8.6E-3</v>
      </c>
      <c r="I114" s="1">
        <v>2.81E-2</v>
      </c>
      <c r="K114" s="1">
        <v>1.7899999999999999E-2</v>
      </c>
      <c r="L114" s="1">
        <v>0.36959999999999998</v>
      </c>
      <c r="M114" s="1">
        <v>2.5700000000000001E-2</v>
      </c>
      <c r="N114" s="1">
        <v>6.9999999999999999E-4</v>
      </c>
      <c r="O114" s="1">
        <v>0.17119999999999999</v>
      </c>
      <c r="P114" s="1">
        <v>3.3399999999999999E-2</v>
      </c>
      <c r="Q114" s="1">
        <v>2.2499999999999999E-2</v>
      </c>
      <c r="R114" s="1">
        <v>7.6100000000000001E-2</v>
      </c>
      <c r="S114" s="1">
        <v>2.24E-2</v>
      </c>
      <c r="T114" s="1">
        <v>8.7999999999999995E-2</v>
      </c>
      <c r="U114" s="1">
        <v>8.6599999999999996E-2</v>
      </c>
    </row>
    <row r="115" spans="1:22" x14ac:dyDescent="0.25">
      <c r="A115" t="s">
        <v>198</v>
      </c>
      <c r="B115">
        <v>568</v>
      </c>
      <c r="C115" t="s">
        <v>201</v>
      </c>
      <c r="D115">
        <v>5820</v>
      </c>
      <c r="E115" s="1">
        <v>2.1399999999999999E-2</v>
      </c>
      <c r="G115" s="1">
        <v>5.1900000000000002E-2</v>
      </c>
      <c r="H115" s="1">
        <v>1.34E-2</v>
      </c>
      <c r="I115" s="1">
        <v>2.4500000000000001E-2</v>
      </c>
      <c r="K115" s="1">
        <v>1.3599999999999999E-2</v>
      </c>
      <c r="L115" s="1">
        <v>0.26750000000000002</v>
      </c>
      <c r="M115" s="1">
        <v>5.1299999999999998E-2</v>
      </c>
      <c r="O115" s="1">
        <v>0.17</v>
      </c>
      <c r="P115" s="1">
        <v>9.5999999999999992E-3</v>
      </c>
      <c r="Q115" s="1">
        <v>2.07E-2</v>
      </c>
      <c r="R115" s="1">
        <v>0.1053</v>
      </c>
      <c r="S115" s="1">
        <v>2.6700000000000002E-2</v>
      </c>
      <c r="T115" s="1">
        <v>0.1168</v>
      </c>
      <c r="U115" s="1">
        <v>0.10730000000000001</v>
      </c>
    </row>
    <row r="116" spans="1:22" x14ac:dyDescent="0.25">
      <c r="A116" t="s">
        <v>198</v>
      </c>
      <c r="B116">
        <v>182</v>
      </c>
      <c r="C116" t="s">
        <v>202</v>
      </c>
      <c r="D116">
        <v>5820</v>
      </c>
      <c r="E116" s="1">
        <v>1.7500000000000002E-2</v>
      </c>
      <c r="G116" s="1">
        <v>3.8399999999999997E-2</v>
      </c>
      <c r="K116" s="1">
        <v>1.4E-3</v>
      </c>
      <c r="L116" s="1">
        <v>0.30320000000000003</v>
      </c>
      <c r="M116" s="1">
        <v>6.59E-2</v>
      </c>
      <c r="O116" s="1">
        <v>0.2039</v>
      </c>
      <c r="P116" s="1">
        <v>6.2799999999999995E-2</v>
      </c>
      <c r="Q116" s="1">
        <v>1.34E-2</v>
      </c>
      <c r="R116" s="1">
        <v>8.8499999999999995E-2</v>
      </c>
      <c r="S116" s="1">
        <v>2.6599999999999999E-2</v>
      </c>
      <c r="T116" s="1">
        <v>5.6599999999999998E-2</v>
      </c>
      <c r="U116" s="1">
        <v>0.12180000000000001</v>
      </c>
    </row>
    <row r="117" spans="1:22" x14ac:dyDescent="0.25">
      <c r="A117" t="s">
        <v>203</v>
      </c>
      <c r="B117">
        <v>1186</v>
      </c>
      <c r="C117" t="s">
        <v>199</v>
      </c>
      <c r="D117">
        <v>5820</v>
      </c>
      <c r="E117" s="1">
        <v>1.9E-2</v>
      </c>
      <c r="G117" s="1">
        <v>3.8600000000000002E-2</v>
      </c>
      <c r="H117" s="1">
        <v>2.1999999999999999E-2</v>
      </c>
      <c r="I117" s="1">
        <v>3.0300000000000001E-2</v>
      </c>
      <c r="J117" s="1">
        <v>2.9999999999999997E-4</v>
      </c>
      <c r="K117" s="1">
        <v>4.5999999999999999E-2</v>
      </c>
      <c r="L117" s="1">
        <v>0.36990000000000001</v>
      </c>
      <c r="M117" s="1">
        <v>1.18E-2</v>
      </c>
      <c r="N117" s="1">
        <v>3.8999999999999998E-3</v>
      </c>
      <c r="O117" s="1">
        <v>0.14369999999999999</v>
      </c>
      <c r="P117" s="1">
        <v>2.7799999999999998E-2</v>
      </c>
      <c r="Q117" s="1">
        <v>1.29E-2</v>
      </c>
      <c r="R117" s="1">
        <v>6.08E-2</v>
      </c>
      <c r="S117" s="1">
        <v>2.8199999999999999E-2</v>
      </c>
      <c r="T117" s="1">
        <v>5.5500000000000001E-2</v>
      </c>
      <c r="U117" s="1">
        <v>0.1293</v>
      </c>
    </row>
    <row r="118" spans="1:22" x14ac:dyDescent="0.25">
      <c r="A118" t="s">
        <v>203</v>
      </c>
      <c r="B118">
        <v>1140</v>
      </c>
      <c r="C118" t="s">
        <v>200</v>
      </c>
      <c r="D118">
        <v>5820</v>
      </c>
      <c r="E118" s="1">
        <v>1.1900000000000001E-2</v>
      </c>
      <c r="F118" s="1">
        <v>5.9999999999999995E-4</v>
      </c>
      <c r="G118" s="1">
        <v>5.4300000000000001E-2</v>
      </c>
      <c r="H118" s="1">
        <v>1.3100000000000001E-2</v>
      </c>
      <c r="I118" s="1">
        <v>2.64E-2</v>
      </c>
      <c r="K118" s="1">
        <v>7.2099999999999997E-2</v>
      </c>
      <c r="L118" s="1">
        <v>0.44819999999999999</v>
      </c>
      <c r="M118" s="1">
        <v>9.2999999999999992E-3</v>
      </c>
      <c r="N118" s="1">
        <v>2.0000000000000001E-4</v>
      </c>
      <c r="O118" s="1">
        <v>0.13689999999999999</v>
      </c>
      <c r="P118" s="1">
        <v>3.5400000000000001E-2</v>
      </c>
      <c r="Q118" s="1">
        <v>2.1600000000000001E-2</v>
      </c>
      <c r="R118" s="1">
        <v>4.7300000000000002E-2</v>
      </c>
      <c r="S118" s="1">
        <v>1.43E-2</v>
      </c>
      <c r="T118" s="1">
        <v>3.4099999999999998E-2</v>
      </c>
      <c r="U118" s="1">
        <v>7.4300000000000005E-2</v>
      </c>
    </row>
    <row r="119" spans="1:22" x14ac:dyDescent="0.25">
      <c r="A119" t="s">
        <v>203</v>
      </c>
      <c r="B119">
        <v>735</v>
      </c>
      <c r="C119" t="s">
        <v>201</v>
      </c>
      <c r="D119">
        <v>5820</v>
      </c>
      <c r="E119" s="1">
        <v>1.67E-2</v>
      </c>
      <c r="G119" s="1">
        <v>6.6199999999999995E-2</v>
      </c>
      <c r="H119" s="1">
        <v>1.8599999999999998E-2</v>
      </c>
      <c r="I119" s="1">
        <v>1.1299999999999999E-2</v>
      </c>
      <c r="J119" s="1">
        <v>1E-4</v>
      </c>
      <c r="K119" s="1">
        <v>5.5899999999999998E-2</v>
      </c>
      <c r="L119" s="1">
        <v>0.3846</v>
      </c>
      <c r="M119" s="1">
        <v>1.2E-2</v>
      </c>
      <c r="N119" s="1">
        <v>8.9999999999999998E-4</v>
      </c>
      <c r="O119" s="1">
        <v>9.9000000000000005E-2</v>
      </c>
      <c r="P119" s="1">
        <v>5.7500000000000002E-2</v>
      </c>
      <c r="Q119" s="1">
        <v>3.4599999999999999E-2</v>
      </c>
      <c r="R119" s="1">
        <v>4.8099999999999997E-2</v>
      </c>
      <c r="S119" s="1">
        <v>3.6700000000000003E-2</v>
      </c>
      <c r="T119" s="1">
        <v>7.6999999999999999E-2</v>
      </c>
      <c r="U119" s="1">
        <v>8.1100000000000005E-2</v>
      </c>
    </row>
    <row r="120" spans="1:22" x14ac:dyDescent="0.25">
      <c r="A120" t="s">
        <v>203</v>
      </c>
      <c r="B120">
        <v>201</v>
      </c>
      <c r="C120" t="s">
        <v>202</v>
      </c>
      <c r="D120">
        <v>5820</v>
      </c>
      <c r="E120" s="1">
        <v>2.8E-3</v>
      </c>
      <c r="G120" s="1">
        <v>4.7E-2</v>
      </c>
      <c r="H120" s="1">
        <v>6.4999999999999997E-3</v>
      </c>
      <c r="I120" s="1">
        <v>2.0299999999999999E-2</v>
      </c>
      <c r="K120" s="1">
        <v>2.1899999999999999E-2</v>
      </c>
      <c r="L120" s="1">
        <v>0.51629999999999998</v>
      </c>
      <c r="M120" s="1">
        <v>0.02</v>
      </c>
      <c r="O120" s="1">
        <v>0.11899999999999999</v>
      </c>
      <c r="P120" s="1">
        <v>1.0500000000000001E-2</v>
      </c>
      <c r="Q120" s="1">
        <v>2.63E-2</v>
      </c>
      <c r="R120" s="1">
        <v>8.6400000000000005E-2</v>
      </c>
      <c r="S120" s="1">
        <v>1.49E-2</v>
      </c>
      <c r="T120" s="1">
        <v>3.73E-2</v>
      </c>
      <c r="U120" s="1">
        <v>7.0800000000000002E-2</v>
      </c>
    </row>
    <row r="121" spans="1:22" x14ac:dyDescent="0.25">
      <c r="A121" t="s">
        <v>204</v>
      </c>
      <c r="B121">
        <v>5820</v>
      </c>
      <c r="C121" t="s">
        <v>204</v>
      </c>
      <c r="D121">
        <v>5820</v>
      </c>
      <c r="E121" s="1">
        <v>1.6E-2</v>
      </c>
      <c r="F121" s="1">
        <v>2.0000000000000001E-4</v>
      </c>
      <c r="G121" s="1">
        <v>4.7399999999999998E-2</v>
      </c>
      <c r="H121" s="1">
        <v>1.09E-2</v>
      </c>
      <c r="I121" s="1">
        <v>2.0500000000000001E-2</v>
      </c>
      <c r="J121" s="1">
        <v>0</v>
      </c>
      <c r="K121" s="1">
        <v>3.6200000000000003E-2</v>
      </c>
      <c r="L121" s="1">
        <v>0.37390000000000001</v>
      </c>
      <c r="M121" s="1">
        <v>2.6599999999999999E-2</v>
      </c>
      <c r="N121" s="1">
        <v>6.9999999999999999E-4</v>
      </c>
      <c r="O121" s="1">
        <v>0.1686</v>
      </c>
      <c r="P121" s="1">
        <v>3.1699999999999999E-2</v>
      </c>
      <c r="Q121" s="1">
        <v>2.2599999999999999E-2</v>
      </c>
      <c r="R121" s="1">
        <v>6.2700000000000006E-2</v>
      </c>
      <c r="S121" s="1">
        <v>2.58E-2</v>
      </c>
      <c r="T121" s="1">
        <v>6.1400000000000003E-2</v>
      </c>
      <c r="U121" s="1">
        <v>9.4799999999999995E-2</v>
      </c>
    </row>
    <row r="123" spans="1:22" x14ac:dyDescent="0.25">
      <c r="A123" t="s">
        <v>246</v>
      </c>
    </row>
    <row r="124" spans="1:22" x14ac:dyDescent="0.25">
      <c r="A124" t="s">
        <v>190</v>
      </c>
      <c r="B124" t="s">
        <v>206</v>
      </c>
      <c r="C124" t="s">
        <v>195</v>
      </c>
      <c r="D124" t="s">
        <v>189</v>
      </c>
      <c r="E124" t="s">
        <v>196</v>
      </c>
      <c r="F124" t="s">
        <v>231</v>
      </c>
      <c r="G124" t="s">
        <v>220</v>
      </c>
      <c r="H124" t="s">
        <v>232</v>
      </c>
      <c r="I124" t="s">
        <v>233</v>
      </c>
      <c r="J124" t="s">
        <v>234</v>
      </c>
      <c r="K124" t="s">
        <v>235</v>
      </c>
      <c r="L124" t="s">
        <v>236</v>
      </c>
      <c r="M124" t="s">
        <v>237</v>
      </c>
      <c r="N124" t="s">
        <v>238</v>
      </c>
      <c r="O124" t="s">
        <v>215</v>
      </c>
      <c r="P124" t="s">
        <v>239</v>
      </c>
      <c r="Q124" t="s">
        <v>240</v>
      </c>
      <c r="R124" t="s">
        <v>241</v>
      </c>
      <c r="S124" t="s">
        <v>242</v>
      </c>
      <c r="T124" t="s">
        <v>243</v>
      </c>
      <c r="U124" t="s">
        <v>244</v>
      </c>
      <c r="V124" t="s">
        <v>245</v>
      </c>
    </row>
    <row r="125" spans="1:22" s="29" customFormat="1" x14ac:dyDescent="0.25">
      <c r="A125" s="29" t="s">
        <v>198</v>
      </c>
      <c r="B125" s="29" t="s">
        <v>247</v>
      </c>
      <c r="C125" s="29">
        <v>3</v>
      </c>
      <c r="D125" s="29" t="s">
        <v>197</v>
      </c>
      <c r="E125" s="29">
        <v>5820</v>
      </c>
      <c r="R125" s="30">
        <v>0.30809999999999998</v>
      </c>
      <c r="S125" s="30">
        <v>0.69189999999999996</v>
      </c>
    </row>
    <row r="126" spans="1:22" x14ac:dyDescent="0.25">
      <c r="A126" t="s">
        <v>198</v>
      </c>
      <c r="B126" t="s">
        <v>248</v>
      </c>
      <c r="C126">
        <v>57</v>
      </c>
      <c r="D126" t="s">
        <v>197</v>
      </c>
      <c r="E126">
        <v>5820</v>
      </c>
      <c r="M126" s="1">
        <v>1.9300000000000001E-2</v>
      </c>
      <c r="N126" s="1">
        <v>3.1E-2</v>
      </c>
      <c r="P126" s="1">
        <v>0.92359999999999998</v>
      </c>
      <c r="U126" s="1">
        <v>2.5999999999999999E-2</v>
      </c>
    </row>
    <row r="127" spans="1:22" s="29" customFormat="1" x14ac:dyDescent="0.25">
      <c r="A127" s="29" t="s">
        <v>198</v>
      </c>
      <c r="B127" s="29" t="s">
        <v>249</v>
      </c>
      <c r="C127" s="29">
        <v>23</v>
      </c>
      <c r="D127" s="29" t="s">
        <v>197</v>
      </c>
      <c r="E127" s="29">
        <v>5820</v>
      </c>
      <c r="M127" s="30">
        <v>0.308</v>
      </c>
      <c r="N127" s="30">
        <v>3.8600000000000002E-2</v>
      </c>
      <c r="R127" s="30">
        <v>2.6200000000000001E-2</v>
      </c>
      <c r="S127" s="30">
        <v>0.31369999999999998</v>
      </c>
      <c r="T127" s="30">
        <v>3.8600000000000002E-2</v>
      </c>
      <c r="U127" s="30">
        <v>0.14990000000000001</v>
      </c>
      <c r="V127" s="30">
        <v>0.12520000000000001</v>
      </c>
    </row>
    <row r="128" spans="1:22" x14ac:dyDescent="0.25">
      <c r="A128" t="s">
        <v>198</v>
      </c>
      <c r="B128" t="s">
        <v>250</v>
      </c>
      <c r="C128">
        <v>40</v>
      </c>
      <c r="D128" t="s">
        <v>197</v>
      </c>
      <c r="E128">
        <v>5820</v>
      </c>
      <c r="F128" s="1">
        <v>2.2499999999999999E-2</v>
      </c>
      <c r="H128" s="1">
        <v>4.3299999999999998E-2</v>
      </c>
      <c r="M128" s="1">
        <v>0.46029999999999999</v>
      </c>
      <c r="N128" s="1">
        <v>5.0500000000000003E-2</v>
      </c>
      <c r="P128" s="1">
        <v>0.1154</v>
      </c>
      <c r="T128" s="1">
        <v>4.4999999999999998E-2</v>
      </c>
      <c r="U128" s="1">
        <v>0.1956</v>
      </c>
      <c r="V128" s="1">
        <v>6.7500000000000004E-2</v>
      </c>
    </row>
    <row r="129" spans="1:22" x14ac:dyDescent="0.25">
      <c r="A129" t="s">
        <v>198</v>
      </c>
      <c r="B129" t="s">
        <v>251</v>
      </c>
      <c r="C129">
        <v>47</v>
      </c>
      <c r="D129" t="s">
        <v>197</v>
      </c>
      <c r="E129">
        <v>5820</v>
      </c>
      <c r="F129" s="1">
        <v>1.3299999999999999E-2</v>
      </c>
      <c r="H129" s="1">
        <v>9.64E-2</v>
      </c>
      <c r="J129" s="1">
        <v>5.7200000000000001E-2</v>
      </c>
      <c r="M129" s="1">
        <v>0.3881</v>
      </c>
      <c r="N129" s="1">
        <v>6.13E-2</v>
      </c>
      <c r="T129" s="1">
        <v>4.8800000000000003E-2</v>
      </c>
      <c r="U129" s="1">
        <v>0.15279999999999999</v>
      </c>
      <c r="V129" s="1">
        <v>0.18210000000000001</v>
      </c>
    </row>
    <row r="130" spans="1:22" x14ac:dyDescent="0.25">
      <c r="A130" t="s">
        <v>198</v>
      </c>
      <c r="B130" t="s">
        <v>248</v>
      </c>
      <c r="C130">
        <v>172</v>
      </c>
      <c r="D130" t="s">
        <v>199</v>
      </c>
      <c r="E130">
        <v>5820</v>
      </c>
      <c r="F130" s="1">
        <v>1.46E-2</v>
      </c>
      <c r="H130" s="1">
        <v>3.3999999999999998E-3</v>
      </c>
      <c r="L130" s="1">
        <v>4.0000000000000001E-3</v>
      </c>
      <c r="M130" s="1">
        <v>2.9000000000000001E-2</v>
      </c>
      <c r="N130" s="1">
        <v>8.1299999999999997E-2</v>
      </c>
      <c r="P130" s="1">
        <v>0.81610000000000005</v>
      </c>
      <c r="T130" s="1">
        <v>1E-3</v>
      </c>
      <c r="U130" s="1">
        <v>8.5000000000000006E-3</v>
      </c>
      <c r="V130" s="1">
        <v>4.2099999999999999E-2</v>
      </c>
    </row>
    <row r="131" spans="1:22" x14ac:dyDescent="0.25">
      <c r="A131" t="s">
        <v>198</v>
      </c>
      <c r="B131" t="s">
        <v>250</v>
      </c>
      <c r="C131">
        <v>184</v>
      </c>
      <c r="D131" t="s">
        <v>199</v>
      </c>
      <c r="E131">
        <v>5820</v>
      </c>
      <c r="F131" s="1">
        <v>5.4800000000000001E-2</v>
      </c>
      <c r="H131" s="1">
        <v>3.2000000000000001E-2</v>
      </c>
      <c r="J131" s="1">
        <v>2.3599999999999999E-2</v>
      </c>
      <c r="M131" s="1">
        <v>0.32090000000000002</v>
      </c>
      <c r="N131" s="1">
        <v>8.0100000000000005E-2</v>
      </c>
      <c r="P131" s="1">
        <v>0.16850000000000001</v>
      </c>
      <c r="Q131" s="1">
        <v>6.3799999999999996E-2</v>
      </c>
      <c r="T131" s="1">
        <v>6.5299999999999997E-2</v>
      </c>
      <c r="U131" s="1">
        <v>0.11310000000000001</v>
      </c>
      <c r="V131" s="1">
        <v>7.7799999999999994E-2</v>
      </c>
    </row>
    <row r="132" spans="1:22" x14ac:dyDescent="0.25">
      <c r="A132" t="s">
        <v>198</v>
      </c>
      <c r="B132" t="s">
        <v>251</v>
      </c>
      <c r="C132">
        <v>268</v>
      </c>
      <c r="D132" t="s">
        <v>199</v>
      </c>
      <c r="E132">
        <v>5820</v>
      </c>
      <c r="F132" s="1">
        <v>3.85E-2</v>
      </c>
      <c r="H132" s="1">
        <v>8.1199999999999994E-2</v>
      </c>
      <c r="I132" s="1">
        <v>1.24E-2</v>
      </c>
      <c r="J132" s="1">
        <v>2.2000000000000001E-3</v>
      </c>
      <c r="L132" s="1">
        <v>1.9E-3</v>
      </c>
      <c r="M132" s="1">
        <v>0.47910000000000003</v>
      </c>
      <c r="N132" s="1">
        <v>3.2300000000000002E-2</v>
      </c>
      <c r="Q132" s="1">
        <v>3.1199999999999999E-2</v>
      </c>
      <c r="T132" s="1">
        <v>3.32E-2</v>
      </c>
      <c r="U132" s="1">
        <v>7.7200000000000005E-2</v>
      </c>
      <c r="V132" s="1">
        <v>0.2107</v>
      </c>
    </row>
    <row r="133" spans="1:22" x14ac:dyDescent="0.25">
      <c r="A133" t="s">
        <v>198</v>
      </c>
      <c r="B133" t="s">
        <v>249</v>
      </c>
      <c r="C133">
        <v>116</v>
      </c>
      <c r="D133" t="s">
        <v>199</v>
      </c>
      <c r="E133">
        <v>5820</v>
      </c>
      <c r="F133" s="1">
        <v>4.5999999999999999E-3</v>
      </c>
      <c r="H133" s="1">
        <v>0.1067</v>
      </c>
      <c r="I133" s="1">
        <v>9.2999999999999992E-3</v>
      </c>
      <c r="L133" s="1">
        <v>4.1000000000000003E-3</v>
      </c>
      <c r="M133" s="1">
        <v>0.23430000000000001</v>
      </c>
      <c r="N133" s="1">
        <v>2.35E-2</v>
      </c>
      <c r="Q133" s="1">
        <v>5.5999999999999999E-3</v>
      </c>
      <c r="R133" s="1">
        <v>0.1988</v>
      </c>
      <c r="S133" s="1">
        <v>0.1143</v>
      </c>
      <c r="T133" s="1">
        <v>0.13120000000000001</v>
      </c>
      <c r="U133" s="1">
        <v>5.28E-2</v>
      </c>
      <c r="V133" s="1">
        <v>0.1148</v>
      </c>
    </row>
    <row r="134" spans="1:22" x14ac:dyDescent="0.25">
      <c r="A134" t="s">
        <v>198</v>
      </c>
      <c r="B134" t="s">
        <v>247</v>
      </c>
      <c r="C134">
        <v>48</v>
      </c>
      <c r="D134" t="s">
        <v>199</v>
      </c>
      <c r="E134">
        <v>5820</v>
      </c>
      <c r="G134" s="1">
        <v>5.8999999999999999E-3</v>
      </c>
      <c r="R134" s="1">
        <v>4.87E-2</v>
      </c>
      <c r="S134" s="1">
        <v>0.94540000000000002</v>
      </c>
    </row>
    <row r="135" spans="1:22" x14ac:dyDescent="0.25">
      <c r="A135" t="s">
        <v>198</v>
      </c>
      <c r="B135" t="s">
        <v>248</v>
      </c>
      <c r="C135">
        <v>199</v>
      </c>
      <c r="D135" t="s">
        <v>200</v>
      </c>
      <c r="E135">
        <v>5820</v>
      </c>
      <c r="F135" s="1">
        <v>4.8999999999999998E-3</v>
      </c>
      <c r="L135" s="1">
        <v>1.47E-2</v>
      </c>
      <c r="M135" s="1">
        <v>8.0100000000000005E-2</v>
      </c>
      <c r="N135" s="1">
        <v>2.5000000000000001E-2</v>
      </c>
      <c r="P135" s="1">
        <v>0.77739999999999998</v>
      </c>
      <c r="Q135" s="1">
        <v>8.8999999999999999E-3</v>
      </c>
      <c r="T135" s="1">
        <v>9.7999999999999997E-3</v>
      </c>
      <c r="U135" s="1">
        <v>6.4000000000000001E-2</v>
      </c>
      <c r="V135" s="1">
        <v>1.52E-2</v>
      </c>
    </row>
    <row r="136" spans="1:22" x14ac:dyDescent="0.25">
      <c r="A136" t="s">
        <v>198</v>
      </c>
      <c r="B136" t="s">
        <v>247</v>
      </c>
      <c r="C136">
        <v>56</v>
      </c>
      <c r="D136" t="s">
        <v>200</v>
      </c>
      <c r="E136">
        <v>5820</v>
      </c>
      <c r="N136" s="1">
        <v>1.1299999999999999E-2</v>
      </c>
      <c r="R136" s="1">
        <v>0.17069999999999999</v>
      </c>
      <c r="S136" s="1">
        <v>0.81799999999999995</v>
      </c>
    </row>
    <row r="137" spans="1:22" x14ac:dyDescent="0.25">
      <c r="A137" t="s">
        <v>198</v>
      </c>
      <c r="B137" t="s">
        <v>249</v>
      </c>
      <c r="C137">
        <v>116</v>
      </c>
      <c r="D137" t="s">
        <v>200</v>
      </c>
      <c r="E137">
        <v>5820</v>
      </c>
      <c r="F137" s="1">
        <v>1.6299999999999999E-2</v>
      </c>
      <c r="H137" s="1">
        <v>2.6800000000000001E-2</v>
      </c>
      <c r="I137" s="1">
        <v>5.0000000000000001E-3</v>
      </c>
      <c r="J137" s="1">
        <v>4.2099999999999999E-2</v>
      </c>
      <c r="M137" s="1">
        <v>0.32790000000000002</v>
      </c>
      <c r="N137" s="1">
        <v>1.44E-2</v>
      </c>
      <c r="O137" s="1">
        <v>4.5999999999999999E-3</v>
      </c>
      <c r="Q137" s="1">
        <v>8.48E-2</v>
      </c>
      <c r="R137" s="1">
        <v>6.6400000000000001E-2</v>
      </c>
      <c r="S137" s="1">
        <v>0.12230000000000001</v>
      </c>
      <c r="T137" s="1">
        <v>2.1999999999999999E-2</v>
      </c>
      <c r="U137" s="1">
        <v>9.5899999999999999E-2</v>
      </c>
      <c r="V137" s="1">
        <v>0.17130000000000001</v>
      </c>
    </row>
    <row r="138" spans="1:22" x14ac:dyDescent="0.25">
      <c r="A138" t="s">
        <v>198</v>
      </c>
      <c r="B138" t="s">
        <v>250</v>
      </c>
      <c r="C138">
        <v>183</v>
      </c>
      <c r="D138" t="s">
        <v>200</v>
      </c>
      <c r="E138">
        <v>5820</v>
      </c>
      <c r="F138" s="1">
        <v>3.4700000000000002E-2</v>
      </c>
      <c r="H138" s="1">
        <v>4.2999999999999997E-2</v>
      </c>
      <c r="I138" s="1">
        <v>1.2500000000000001E-2</v>
      </c>
      <c r="J138" s="1">
        <v>6.9400000000000003E-2</v>
      </c>
      <c r="L138" s="1">
        <v>3.44E-2</v>
      </c>
      <c r="M138" s="1">
        <v>0.502</v>
      </c>
      <c r="N138" s="1">
        <v>3.6799999999999999E-2</v>
      </c>
      <c r="P138" s="1">
        <v>3.6999999999999998E-2</v>
      </c>
      <c r="Q138" s="1">
        <v>8.5000000000000006E-3</v>
      </c>
      <c r="T138" s="1">
        <v>3.8699999999999998E-2</v>
      </c>
      <c r="U138" s="1">
        <v>0.126</v>
      </c>
      <c r="V138" s="1">
        <v>5.7099999999999998E-2</v>
      </c>
    </row>
    <row r="139" spans="1:22" x14ac:dyDescent="0.25">
      <c r="A139" t="s">
        <v>198</v>
      </c>
      <c r="B139" t="s">
        <v>251</v>
      </c>
      <c r="C139">
        <v>296</v>
      </c>
      <c r="D139" t="s">
        <v>200</v>
      </c>
      <c r="E139">
        <v>5820</v>
      </c>
      <c r="F139" s="1">
        <v>1.4800000000000001E-2</v>
      </c>
      <c r="H139" s="1">
        <v>5.6800000000000003E-2</v>
      </c>
      <c r="I139" s="1">
        <v>1.47E-2</v>
      </c>
      <c r="J139" s="1">
        <v>2.2200000000000001E-2</v>
      </c>
      <c r="L139" s="1">
        <v>2.23E-2</v>
      </c>
      <c r="M139" s="1">
        <v>0.55230000000000001</v>
      </c>
      <c r="N139" s="1">
        <v>2.7799999999999998E-2</v>
      </c>
      <c r="Q139" s="1">
        <v>4.4400000000000002E-2</v>
      </c>
      <c r="R139" s="1">
        <v>8.0000000000000004E-4</v>
      </c>
      <c r="S139" s="1">
        <v>8.0000000000000004E-4</v>
      </c>
      <c r="T139" s="1">
        <v>2.5499999999999998E-2</v>
      </c>
      <c r="U139" s="1">
        <v>9.5299999999999996E-2</v>
      </c>
      <c r="V139" s="1">
        <v>0.12230000000000001</v>
      </c>
    </row>
    <row r="140" spans="1:22" x14ac:dyDescent="0.25">
      <c r="A140" t="s">
        <v>198</v>
      </c>
      <c r="B140" t="s">
        <v>248</v>
      </c>
      <c r="C140">
        <v>132</v>
      </c>
      <c r="D140" t="s">
        <v>201</v>
      </c>
      <c r="E140">
        <v>5820</v>
      </c>
      <c r="F140" s="1">
        <v>8.6999999999999994E-3</v>
      </c>
      <c r="H140" s="1">
        <v>6.0000000000000001E-3</v>
      </c>
      <c r="L140" s="1">
        <v>1.6E-2</v>
      </c>
      <c r="M140" s="1">
        <v>9.5500000000000002E-2</v>
      </c>
      <c r="N140" s="1">
        <v>6.6100000000000006E-2</v>
      </c>
      <c r="P140" s="1">
        <v>0.7429</v>
      </c>
      <c r="Q140" s="1">
        <v>1.4E-3</v>
      </c>
      <c r="T140" s="1">
        <v>2.5999999999999999E-3</v>
      </c>
      <c r="U140" s="1">
        <v>4.6800000000000001E-2</v>
      </c>
      <c r="V140" s="1">
        <v>1.4E-2</v>
      </c>
    </row>
    <row r="141" spans="1:22" x14ac:dyDescent="0.25">
      <c r="A141" t="s">
        <v>198</v>
      </c>
      <c r="B141" t="s">
        <v>250</v>
      </c>
      <c r="C141">
        <v>133</v>
      </c>
      <c r="D141" t="s">
        <v>201</v>
      </c>
      <c r="E141">
        <v>5820</v>
      </c>
      <c r="F141" s="1">
        <v>1.46E-2</v>
      </c>
      <c r="H141" s="1">
        <v>6.5600000000000006E-2</v>
      </c>
      <c r="I141" s="1">
        <v>3.4599999999999999E-2</v>
      </c>
      <c r="J141" s="1">
        <v>3.61E-2</v>
      </c>
      <c r="L141" s="1">
        <v>0.03</v>
      </c>
      <c r="M141" s="1">
        <v>0.4042</v>
      </c>
      <c r="N141" s="1">
        <v>9.9699999999999997E-2</v>
      </c>
      <c r="P141" s="1">
        <v>4.9799999999999997E-2</v>
      </c>
      <c r="Q141" s="1">
        <v>5.4999999999999997E-3</v>
      </c>
      <c r="R141" s="1">
        <v>1.0699999999999999E-2</v>
      </c>
      <c r="S141" s="1">
        <v>2.0799999999999999E-2</v>
      </c>
      <c r="T141" s="1">
        <v>1.9300000000000001E-2</v>
      </c>
      <c r="U141" s="1">
        <v>0.1779</v>
      </c>
      <c r="V141" s="1">
        <v>3.1199999999999999E-2</v>
      </c>
    </row>
    <row r="142" spans="1:22" x14ac:dyDescent="0.25">
      <c r="A142" t="s">
        <v>198</v>
      </c>
      <c r="B142" t="s">
        <v>251</v>
      </c>
      <c r="C142">
        <v>180</v>
      </c>
      <c r="D142" t="s">
        <v>201</v>
      </c>
      <c r="E142">
        <v>5820</v>
      </c>
      <c r="F142" s="1">
        <v>4.6699999999999998E-2</v>
      </c>
      <c r="H142" s="1">
        <v>7.7200000000000005E-2</v>
      </c>
      <c r="I142" s="1">
        <v>1.77E-2</v>
      </c>
      <c r="J142" s="1">
        <v>3.0700000000000002E-2</v>
      </c>
      <c r="L142" s="1">
        <v>4.1999999999999997E-3</v>
      </c>
      <c r="M142" s="1">
        <v>0.38650000000000001</v>
      </c>
      <c r="N142" s="1">
        <v>3.5400000000000001E-2</v>
      </c>
      <c r="Q142" s="1">
        <v>1.3899999999999999E-2</v>
      </c>
      <c r="R142" s="1">
        <v>9.7000000000000003E-3</v>
      </c>
      <c r="S142" s="1">
        <v>1.17E-2</v>
      </c>
      <c r="T142" s="1">
        <v>5.11E-2</v>
      </c>
      <c r="U142" s="1">
        <v>0.1772</v>
      </c>
      <c r="V142" s="1">
        <v>0.1381</v>
      </c>
    </row>
    <row r="143" spans="1:22" x14ac:dyDescent="0.25">
      <c r="A143" t="s">
        <v>198</v>
      </c>
      <c r="B143" t="s">
        <v>249</v>
      </c>
      <c r="C143">
        <v>76</v>
      </c>
      <c r="D143" t="s">
        <v>201</v>
      </c>
      <c r="E143">
        <v>5820</v>
      </c>
      <c r="F143" s="1">
        <v>3.7000000000000002E-3</v>
      </c>
      <c r="H143" s="1">
        <v>6.9400000000000003E-2</v>
      </c>
      <c r="J143" s="1">
        <v>4.2500000000000003E-2</v>
      </c>
      <c r="L143" s="1">
        <v>1.5699999999999999E-2</v>
      </c>
      <c r="M143" s="1">
        <v>0.19620000000000001</v>
      </c>
      <c r="N143" s="1">
        <v>2.5100000000000001E-2</v>
      </c>
      <c r="Q143" s="1">
        <v>2.3199999999999998E-2</v>
      </c>
      <c r="R143" s="1">
        <v>5.0999999999999997E-2</v>
      </c>
      <c r="S143" s="1">
        <v>0.161</v>
      </c>
      <c r="T143" s="1">
        <v>3.1699999999999999E-2</v>
      </c>
      <c r="U143" s="1">
        <v>5.3900000000000003E-2</v>
      </c>
      <c r="V143" s="1">
        <v>0.3266</v>
      </c>
    </row>
    <row r="144" spans="1:22" x14ac:dyDescent="0.25">
      <c r="A144" t="s">
        <v>198</v>
      </c>
      <c r="B144" t="s">
        <v>247</v>
      </c>
      <c r="C144">
        <v>47</v>
      </c>
      <c r="D144" t="s">
        <v>201</v>
      </c>
      <c r="E144">
        <v>5820</v>
      </c>
      <c r="R144" s="1">
        <v>9.0899999999999995E-2</v>
      </c>
      <c r="S144" s="1">
        <v>0.87790000000000001</v>
      </c>
      <c r="U144" s="1">
        <v>5.3E-3</v>
      </c>
      <c r="V144" s="1">
        <v>2.5899999999999999E-2</v>
      </c>
    </row>
    <row r="145" spans="1:22" x14ac:dyDescent="0.25">
      <c r="A145" t="s">
        <v>198</v>
      </c>
      <c r="B145" t="s">
        <v>248</v>
      </c>
      <c r="C145">
        <v>52</v>
      </c>
      <c r="D145" t="s">
        <v>202</v>
      </c>
      <c r="E145">
        <v>5820</v>
      </c>
      <c r="M145" s="1">
        <v>7.5499999999999998E-2</v>
      </c>
      <c r="N145" s="1">
        <v>0.1081</v>
      </c>
      <c r="P145" s="1">
        <v>0.79039999999999999</v>
      </c>
      <c r="U145" s="1">
        <v>6.3E-3</v>
      </c>
      <c r="V145" s="1">
        <v>1.9800000000000002E-2</v>
      </c>
    </row>
    <row r="146" spans="1:22" x14ac:dyDescent="0.25">
      <c r="A146" t="s">
        <v>198</v>
      </c>
      <c r="B146" t="s">
        <v>250</v>
      </c>
      <c r="C146">
        <v>45</v>
      </c>
      <c r="D146" t="s">
        <v>202</v>
      </c>
      <c r="E146">
        <v>5820</v>
      </c>
      <c r="H146" s="1">
        <v>7.8100000000000003E-2</v>
      </c>
      <c r="M146" s="1">
        <v>0.4491</v>
      </c>
      <c r="N146" s="1">
        <v>6.9699999999999998E-2</v>
      </c>
      <c r="P146" s="1">
        <v>0.14069999999999999</v>
      </c>
      <c r="Q146" s="1">
        <v>3.7499999999999999E-2</v>
      </c>
      <c r="S146" s="1">
        <v>3.9699999999999999E-2</v>
      </c>
      <c r="T146" s="1">
        <v>2.9600000000000001E-2</v>
      </c>
      <c r="U146" s="1">
        <v>9.2100000000000001E-2</v>
      </c>
      <c r="V146" s="1">
        <v>6.3500000000000001E-2</v>
      </c>
    </row>
    <row r="147" spans="1:22" x14ac:dyDescent="0.25">
      <c r="A147" t="s">
        <v>198</v>
      </c>
      <c r="B147" t="s">
        <v>251</v>
      </c>
      <c r="C147">
        <v>45</v>
      </c>
      <c r="D147" t="s">
        <v>202</v>
      </c>
      <c r="E147">
        <v>5820</v>
      </c>
      <c r="F147" s="1">
        <v>2.7400000000000001E-2</v>
      </c>
      <c r="H147" s="1">
        <v>4.3499999999999997E-2</v>
      </c>
      <c r="M147" s="1">
        <v>0.45779999999999998</v>
      </c>
      <c r="N147" s="1">
        <v>7.0900000000000005E-2</v>
      </c>
      <c r="Q147" s="1">
        <v>4.2799999999999998E-2</v>
      </c>
      <c r="T147" s="1">
        <v>4.3E-3</v>
      </c>
      <c r="U147" s="1">
        <v>6.0699999999999997E-2</v>
      </c>
      <c r="V147" s="1">
        <v>0.29260000000000003</v>
      </c>
    </row>
    <row r="148" spans="1:22" x14ac:dyDescent="0.25">
      <c r="A148" t="s">
        <v>198</v>
      </c>
      <c r="B148" t="s">
        <v>249</v>
      </c>
      <c r="C148">
        <v>30</v>
      </c>
      <c r="D148" t="s">
        <v>202</v>
      </c>
      <c r="E148">
        <v>5820</v>
      </c>
      <c r="F148" s="1">
        <v>4.41E-2</v>
      </c>
      <c r="H148" s="1">
        <v>3.7199999999999997E-2</v>
      </c>
      <c r="L148" s="1">
        <v>6.8999999999999999E-3</v>
      </c>
      <c r="M148" s="1">
        <v>0.21229999999999999</v>
      </c>
      <c r="N148" s="1">
        <v>2.1899999999999999E-2</v>
      </c>
      <c r="Q148" s="1">
        <v>0.20680000000000001</v>
      </c>
      <c r="R148" s="1">
        <v>2.5899999999999999E-2</v>
      </c>
      <c r="S148" s="1">
        <v>0.21920000000000001</v>
      </c>
      <c r="T148" s="1">
        <v>9.4899999999999998E-2</v>
      </c>
      <c r="U148" s="1">
        <v>7.8899999999999998E-2</v>
      </c>
      <c r="V148" s="1">
        <v>5.1900000000000002E-2</v>
      </c>
    </row>
    <row r="149" spans="1:22" s="29" customFormat="1" x14ac:dyDescent="0.25">
      <c r="A149" s="29" t="s">
        <v>198</v>
      </c>
      <c r="B149" s="29" t="s">
        <v>247</v>
      </c>
      <c r="C149" s="29">
        <v>10</v>
      </c>
      <c r="D149" s="29" t="s">
        <v>202</v>
      </c>
      <c r="E149" s="29">
        <v>5820</v>
      </c>
      <c r="R149" s="30">
        <v>0.18509999999999999</v>
      </c>
      <c r="S149" s="30">
        <v>0.81489999999999996</v>
      </c>
    </row>
    <row r="150" spans="1:22" x14ac:dyDescent="0.25">
      <c r="A150" t="s">
        <v>203</v>
      </c>
      <c r="B150" t="s">
        <v>249</v>
      </c>
      <c r="C150">
        <v>130</v>
      </c>
      <c r="D150" t="s">
        <v>199</v>
      </c>
      <c r="E150">
        <v>5820</v>
      </c>
      <c r="F150" s="1">
        <v>0.03</v>
      </c>
      <c r="H150" s="1">
        <v>5.3600000000000002E-2</v>
      </c>
      <c r="I150" s="1">
        <v>3.8E-3</v>
      </c>
      <c r="J150" s="1">
        <v>4.4999999999999998E-2</v>
      </c>
      <c r="M150" s="1">
        <v>0.27050000000000002</v>
      </c>
      <c r="N150" s="1">
        <v>6.8999999999999999E-3</v>
      </c>
      <c r="Q150" s="1">
        <v>3.3E-3</v>
      </c>
      <c r="R150" s="1">
        <v>8.1000000000000003E-2</v>
      </c>
      <c r="S150" s="1">
        <v>0.15720000000000001</v>
      </c>
      <c r="T150" s="1">
        <v>2.8299999999999999E-2</v>
      </c>
      <c r="U150" s="1">
        <v>9.11E-2</v>
      </c>
      <c r="V150" s="1">
        <v>0.2293</v>
      </c>
    </row>
    <row r="151" spans="1:22" x14ac:dyDescent="0.25">
      <c r="A151" t="s">
        <v>203</v>
      </c>
      <c r="B151" t="s">
        <v>248</v>
      </c>
      <c r="C151">
        <v>210</v>
      </c>
      <c r="D151" t="s">
        <v>199</v>
      </c>
      <c r="E151">
        <v>5820</v>
      </c>
      <c r="H151" s="1">
        <v>0.01</v>
      </c>
      <c r="L151" s="1">
        <v>1.2800000000000001E-2</v>
      </c>
      <c r="M151" s="1">
        <v>0.1343</v>
      </c>
      <c r="N151" s="1">
        <v>1.7399999999999999E-2</v>
      </c>
      <c r="P151" s="1">
        <v>0.75260000000000005</v>
      </c>
      <c r="T151" s="1">
        <v>4.8300000000000003E-2</v>
      </c>
      <c r="U151" s="1">
        <v>1.9E-2</v>
      </c>
      <c r="V151" s="1">
        <v>5.4000000000000003E-3</v>
      </c>
    </row>
    <row r="152" spans="1:22" x14ac:dyDescent="0.25">
      <c r="A152" t="s">
        <v>203</v>
      </c>
      <c r="B152" t="s">
        <v>251</v>
      </c>
      <c r="C152">
        <v>454</v>
      </c>
      <c r="D152" t="s">
        <v>199</v>
      </c>
      <c r="E152">
        <v>5820</v>
      </c>
      <c r="F152" s="1">
        <v>5.1000000000000004E-3</v>
      </c>
      <c r="H152" s="1">
        <v>3.3799999999999997E-2</v>
      </c>
      <c r="I152" s="1">
        <v>4.8000000000000001E-2</v>
      </c>
      <c r="J152" s="1">
        <v>3.8600000000000002E-2</v>
      </c>
      <c r="L152" s="1">
        <v>5.0099999999999999E-2</v>
      </c>
      <c r="M152" s="1">
        <v>0.51890000000000003</v>
      </c>
      <c r="N152" s="1">
        <v>4.4000000000000003E-3</v>
      </c>
      <c r="P152" s="1">
        <v>9.2999999999999992E-3</v>
      </c>
      <c r="Q152" s="1">
        <v>4.9299999999999997E-2</v>
      </c>
      <c r="S152" s="1">
        <v>1.1000000000000001E-3</v>
      </c>
      <c r="T152" s="1">
        <v>0.01</v>
      </c>
      <c r="U152" s="1">
        <v>5.57E-2</v>
      </c>
      <c r="V152" s="1">
        <v>0.17580000000000001</v>
      </c>
    </row>
    <row r="153" spans="1:22" x14ac:dyDescent="0.25">
      <c r="A153" t="s">
        <v>203</v>
      </c>
      <c r="B153" t="s">
        <v>247</v>
      </c>
      <c r="C153">
        <v>76</v>
      </c>
      <c r="D153" t="s">
        <v>199</v>
      </c>
      <c r="E153">
        <v>5820</v>
      </c>
      <c r="R153" s="1">
        <v>4.8599999999999997E-2</v>
      </c>
      <c r="S153" s="1">
        <v>0.92</v>
      </c>
      <c r="V153" s="1">
        <v>3.1399999999999997E-2</v>
      </c>
    </row>
    <row r="154" spans="1:22" x14ac:dyDescent="0.25">
      <c r="A154" t="s">
        <v>203</v>
      </c>
      <c r="B154" t="s">
        <v>250</v>
      </c>
      <c r="C154">
        <v>316</v>
      </c>
      <c r="D154" t="s">
        <v>199</v>
      </c>
      <c r="E154">
        <v>5820</v>
      </c>
      <c r="F154" s="1">
        <v>6.1600000000000002E-2</v>
      </c>
      <c r="H154" s="1">
        <v>7.1199999999999999E-2</v>
      </c>
      <c r="J154" s="1">
        <v>3.4599999999999999E-2</v>
      </c>
      <c r="K154" s="1">
        <v>1.2999999999999999E-3</v>
      </c>
      <c r="L154" s="1">
        <v>0.1033</v>
      </c>
      <c r="M154" s="1">
        <v>0.38379999999999997</v>
      </c>
      <c r="N154" s="1">
        <v>2.87E-2</v>
      </c>
      <c r="O154" s="1">
        <v>1.89E-2</v>
      </c>
      <c r="P154" s="1">
        <v>4.9000000000000002E-2</v>
      </c>
      <c r="Q154" s="1">
        <v>2.58E-2</v>
      </c>
      <c r="R154" s="1">
        <v>1.1999999999999999E-3</v>
      </c>
      <c r="T154" s="1">
        <v>5.6599999999999998E-2</v>
      </c>
      <c r="U154" s="1">
        <v>7.4700000000000003E-2</v>
      </c>
      <c r="V154" s="1">
        <v>8.9499999999999996E-2</v>
      </c>
    </row>
    <row r="155" spans="1:22" x14ac:dyDescent="0.25">
      <c r="A155" t="s">
        <v>203</v>
      </c>
      <c r="B155" t="s">
        <v>251</v>
      </c>
      <c r="C155">
        <v>498</v>
      </c>
      <c r="D155" t="s">
        <v>200</v>
      </c>
      <c r="E155">
        <v>5820</v>
      </c>
      <c r="F155" s="1">
        <v>7.4999999999999997E-3</v>
      </c>
      <c r="H155" s="1">
        <v>6.9099999999999995E-2</v>
      </c>
      <c r="I155" s="1">
        <v>1.55E-2</v>
      </c>
      <c r="J155" s="1">
        <v>4.2999999999999997E-2</v>
      </c>
      <c r="L155" s="1">
        <v>9.7000000000000003E-2</v>
      </c>
      <c r="M155" s="1">
        <v>0.56399999999999995</v>
      </c>
      <c r="N155" s="1">
        <v>5.4999999999999997E-3</v>
      </c>
      <c r="Q155" s="1">
        <v>3.8699999999999998E-2</v>
      </c>
      <c r="S155" s="1">
        <v>1E-4</v>
      </c>
      <c r="T155" s="1">
        <v>7.3000000000000001E-3</v>
      </c>
      <c r="U155" s="1">
        <v>2.3800000000000002E-2</v>
      </c>
      <c r="V155" s="1">
        <v>0.12859999999999999</v>
      </c>
    </row>
    <row r="156" spans="1:22" x14ac:dyDescent="0.25">
      <c r="A156" t="s">
        <v>203</v>
      </c>
      <c r="B156" t="s">
        <v>248</v>
      </c>
      <c r="C156">
        <v>200</v>
      </c>
      <c r="D156" t="s">
        <v>200</v>
      </c>
      <c r="E156">
        <v>5820</v>
      </c>
      <c r="H156" s="1">
        <v>0.02</v>
      </c>
      <c r="L156" s="1">
        <v>2.93E-2</v>
      </c>
      <c r="M156" s="1">
        <v>0.1089</v>
      </c>
      <c r="N156" s="1">
        <v>2.2499999999999999E-2</v>
      </c>
      <c r="P156" s="1">
        <v>0.79579999999999995</v>
      </c>
      <c r="Q156" s="1">
        <v>3.3999999999999998E-3</v>
      </c>
      <c r="T156" s="1">
        <v>1.54E-2</v>
      </c>
      <c r="U156" s="1">
        <v>4.5999999999999999E-3</v>
      </c>
    </row>
    <row r="157" spans="1:22" x14ac:dyDescent="0.25">
      <c r="A157" t="s">
        <v>203</v>
      </c>
      <c r="B157" t="s">
        <v>249</v>
      </c>
      <c r="C157">
        <v>152</v>
      </c>
      <c r="D157" t="s">
        <v>200</v>
      </c>
      <c r="E157">
        <v>5820</v>
      </c>
      <c r="F157" s="1">
        <v>1.15E-2</v>
      </c>
      <c r="G157" s="1">
        <v>3.5000000000000001E-3</v>
      </c>
      <c r="H157" s="1">
        <v>6.4399999999999999E-2</v>
      </c>
      <c r="I157" s="1">
        <v>3.1399999999999997E-2</v>
      </c>
      <c r="L157" s="1">
        <v>2.8500000000000001E-2</v>
      </c>
      <c r="M157" s="1">
        <v>0.4017</v>
      </c>
      <c r="Q157" s="1">
        <v>9.8699999999999996E-2</v>
      </c>
      <c r="R157" s="1">
        <v>9.3899999999999997E-2</v>
      </c>
      <c r="S157" s="1">
        <v>6.9099999999999995E-2</v>
      </c>
      <c r="T157" s="1">
        <v>1.2E-2</v>
      </c>
      <c r="U157" s="1">
        <v>9.4700000000000006E-2</v>
      </c>
      <c r="V157" s="1">
        <v>9.0700000000000003E-2</v>
      </c>
    </row>
    <row r="158" spans="1:22" x14ac:dyDescent="0.25">
      <c r="A158" t="s">
        <v>203</v>
      </c>
      <c r="B158" t="s">
        <v>250</v>
      </c>
      <c r="C158">
        <v>231</v>
      </c>
      <c r="D158" t="s">
        <v>200</v>
      </c>
      <c r="E158">
        <v>5820</v>
      </c>
      <c r="F158" s="1">
        <v>3.56E-2</v>
      </c>
      <c r="H158" s="1">
        <v>5.28E-2</v>
      </c>
      <c r="I158" s="1">
        <v>5.8999999999999999E-3</v>
      </c>
      <c r="J158" s="1">
        <v>3.95E-2</v>
      </c>
      <c r="L158" s="1">
        <v>0.1053</v>
      </c>
      <c r="M158" s="1">
        <v>0.61339999999999995</v>
      </c>
      <c r="N158" s="1">
        <v>1.7000000000000001E-2</v>
      </c>
      <c r="O158" s="1">
        <v>1.2999999999999999E-3</v>
      </c>
      <c r="P158" s="1">
        <v>3.2899999999999999E-2</v>
      </c>
      <c r="Q158" s="1">
        <v>8.3999999999999995E-3</v>
      </c>
      <c r="T158" s="1">
        <v>3.4500000000000003E-2</v>
      </c>
      <c r="U158" s="1">
        <v>3.8899999999999997E-2</v>
      </c>
      <c r="V158" s="1">
        <v>1.4500000000000001E-2</v>
      </c>
    </row>
    <row r="159" spans="1:22" x14ac:dyDescent="0.25">
      <c r="A159" t="s">
        <v>203</v>
      </c>
      <c r="B159" t="s">
        <v>247</v>
      </c>
      <c r="C159">
        <v>59</v>
      </c>
      <c r="D159" t="s">
        <v>200</v>
      </c>
      <c r="E159">
        <v>5820</v>
      </c>
      <c r="R159" s="1">
        <v>0.14810000000000001</v>
      </c>
      <c r="S159" s="1">
        <v>0.85060000000000002</v>
      </c>
      <c r="T159" s="1">
        <v>1.2999999999999999E-3</v>
      </c>
    </row>
    <row r="160" spans="1:22" x14ac:dyDescent="0.25">
      <c r="A160" t="s">
        <v>203</v>
      </c>
      <c r="B160" t="s">
        <v>250</v>
      </c>
      <c r="C160">
        <v>210</v>
      </c>
      <c r="D160" t="s">
        <v>201</v>
      </c>
      <c r="E160">
        <v>5820</v>
      </c>
      <c r="F160" s="1">
        <v>2.01E-2</v>
      </c>
      <c r="H160" s="1">
        <v>0.11559999999999999</v>
      </c>
      <c r="I160" s="1">
        <v>4.1300000000000003E-2</v>
      </c>
      <c r="J160" s="1">
        <v>1.7100000000000001E-2</v>
      </c>
      <c r="K160" s="1">
        <v>4.0000000000000002E-4</v>
      </c>
      <c r="L160" s="1">
        <v>8.43E-2</v>
      </c>
      <c r="M160" s="1">
        <v>0.50119999999999998</v>
      </c>
      <c r="N160" s="1">
        <v>2.4500000000000001E-2</v>
      </c>
      <c r="Q160" s="1">
        <v>4.5199999999999997E-2</v>
      </c>
      <c r="T160" s="1">
        <v>3.5499999999999997E-2</v>
      </c>
      <c r="U160" s="1">
        <v>9.8400000000000001E-2</v>
      </c>
      <c r="V160" s="1">
        <v>1.6400000000000001E-2</v>
      </c>
    </row>
    <row r="161" spans="1:22" x14ac:dyDescent="0.25">
      <c r="A161" t="s">
        <v>203</v>
      </c>
      <c r="B161" t="s">
        <v>251</v>
      </c>
      <c r="C161">
        <v>248</v>
      </c>
      <c r="D161" t="s">
        <v>201</v>
      </c>
      <c r="E161">
        <v>5820</v>
      </c>
      <c r="F161" s="1">
        <v>2.5600000000000001E-2</v>
      </c>
      <c r="H161" s="1">
        <v>9.2399999999999996E-2</v>
      </c>
      <c r="I161" s="1">
        <v>1.9300000000000001E-2</v>
      </c>
      <c r="J161" s="1">
        <v>1.67E-2</v>
      </c>
      <c r="L161" s="1">
        <v>6.2300000000000001E-2</v>
      </c>
      <c r="M161" s="1">
        <v>0.49249999999999999</v>
      </c>
      <c r="N161" s="1">
        <v>4.7999999999999996E-3</v>
      </c>
      <c r="Q161" s="1">
        <v>5.5899999999999998E-2</v>
      </c>
      <c r="R161" s="1">
        <v>1.4E-3</v>
      </c>
      <c r="T161" s="1">
        <v>4.1500000000000002E-2</v>
      </c>
      <c r="U161" s="1">
        <v>6.4699999999999994E-2</v>
      </c>
      <c r="V161" s="1">
        <v>0.12280000000000001</v>
      </c>
    </row>
    <row r="162" spans="1:22" x14ac:dyDescent="0.25">
      <c r="A162" t="s">
        <v>203</v>
      </c>
      <c r="B162" t="s">
        <v>248</v>
      </c>
      <c r="C162">
        <v>149</v>
      </c>
      <c r="D162" t="s">
        <v>201</v>
      </c>
      <c r="E162">
        <v>5820</v>
      </c>
      <c r="L162" s="1">
        <v>7.5300000000000006E-2</v>
      </c>
      <c r="M162" s="1">
        <v>0.1065</v>
      </c>
      <c r="N162" s="1">
        <v>2.18E-2</v>
      </c>
      <c r="O162" s="1">
        <v>6.1000000000000004E-3</v>
      </c>
      <c r="P162" s="1">
        <v>0.70199999999999996</v>
      </c>
      <c r="Q162" s="1">
        <v>7.4700000000000003E-2</v>
      </c>
      <c r="T162" s="1">
        <v>4.7999999999999996E-3</v>
      </c>
      <c r="U162" s="1">
        <v>2.5999999999999999E-3</v>
      </c>
      <c r="V162" s="1">
        <v>6.1000000000000004E-3</v>
      </c>
    </row>
    <row r="163" spans="1:22" x14ac:dyDescent="0.25">
      <c r="A163" t="s">
        <v>203</v>
      </c>
      <c r="B163" t="s">
        <v>249</v>
      </c>
      <c r="C163">
        <v>84</v>
      </c>
      <c r="D163" t="s">
        <v>201</v>
      </c>
      <c r="E163">
        <v>5820</v>
      </c>
      <c r="F163" s="1">
        <v>9.4999999999999998E-3</v>
      </c>
      <c r="H163" s="1">
        <v>8.5000000000000006E-3</v>
      </c>
      <c r="I163" s="1">
        <v>3.7000000000000002E-3</v>
      </c>
      <c r="J163" s="1">
        <v>2.8999999999999998E-3</v>
      </c>
      <c r="M163" s="1">
        <v>0.29870000000000002</v>
      </c>
      <c r="N163" s="1">
        <v>4.7999999999999996E-3</v>
      </c>
      <c r="Q163" s="1">
        <v>7.7899999999999997E-2</v>
      </c>
      <c r="R163" s="1">
        <v>0.1593</v>
      </c>
      <c r="S163" s="1">
        <v>6.4199999999999993E-2</v>
      </c>
      <c r="T163" s="1">
        <v>6.1499999999999999E-2</v>
      </c>
      <c r="U163" s="1">
        <v>0.14729999999999999</v>
      </c>
      <c r="V163" s="1">
        <v>0.1618</v>
      </c>
    </row>
    <row r="164" spans="1:22" x14ac:dyDescent="0.25">
      <c r="A164" t="s">
        <v>203</v>
      </c>
      <c r="B164" t="s">
        <v>247</v>
      </c>
      <c r="C164">
        <v>44</v>
      </c>
      <c r="D164" t="s">
        <v>201</v>
      </c>
      <c r="E164">
        <v>5820</v>
      </c>
      <c r="F164" s="1">
        <v>2.2000000000000001E-3</v>
      </c>
      <c r="R164" s="1">
        <v>0.1202</v>
      </c>
      <c r="S164" s="1">
        <v>0.87760000000000005</v>
      </c>
    </row>
    <row r="165" spans="1:22" s="29" customFormat="1" x14ac:dyDescent="0.25">
      <c r="A165" s="29" t="s">
        <v>203</v>
      </c>
      <c r="B165" s="29" t="s">
        <v>247</v>
      </c>
      <c r="C165" s="29">
        <v>18</v>
      </c>
      <c r="D165" s="29" t="s">
        <v>202</v>
      </c>
      <c r="E165" s="29">
        <v>5820</v>
      </c>
      <c r="S165" s="30">
        <v>0.97419999999999995</v>
      </c>
      <c r="U165" s="30">
        <v>2.58E-2</v>
      </c>
    </row>
    <row r="166" spans="1:22" x14ac:dyDescent="0.25">
      <c r="A166" t="s">
        <v>203</v>
      </c>
      <c r="B166" t="s">
        <v>251</v>
      </c>
      <c r="C166">
        <v>75</v>
      </c>
      <c r="D166" t="s">
        <v>202</v>
      </c>
      <c r="E166">
        <v>5820</v>
      </c>
      <c r="F166" s="1">
        <v>7.0000000000000001E-3</v>
      </c>
      <c r="H166" s="1">
        <v>4.9399999999999999E-2</v>
      </c>
      <c r="I166" s="1">
        <v>5.8999999999999999E-3</v>
      </c>
      <c r="J166" s="1">
        <v>1.14E-2</v>
      </c>
      <c r="L166" s="1">
        <v>3.73E-2</v>
      </c>
      <c r="M166" s="1">
        <v>0.68689999999999996</v>
      </c>
      <c r="N166" s="1">
        <v>5.8999999999999999E-3</v>
      </c>
      <c r="Q166" s="1">
        <v>4.4000000000000003E-3</v>
      </c>
      <c r="T166" s="1">
        <v>2.4299999999999999E-2</v>
      </c>
      <c r="U166" s="1">
        <v>3.6900000000000002E-2</v>
      </c>
      <c r="V166" s="1">
        <v>0.13059999999999999</v>
      </c>
    </row>
    <row r="167" spans="1:22" x14ac:dyDescent="0.25">
      <c r="A167" t="s">
        <v>203</v>
      </c>
      <c r="B167" t="s">
        <v>250</v>
      </c>
      <c r="C167">
        <v>50</v>
      </c>
      <c r="D167" t="s">
        <v>202</v>
      </c>
      <c r="E167">
        <v>5820</v>
      </c>
      <c r="H167" s="1">
        <v>3.4799999999999998E-2</v>
      </c>
      <c r="I167" s="1">
        <v>1.66E-2</v>
      </c>
      <c r="J167" s="1">
        <v>2.76E-2</v>
      </c>
      <c r="L167" s="1">
        <v>2.7799999999999998E-2</v>
      </c>
      <c r="M167" s="1">
        <v>0.70279999999999998</v>
      </c>
      <c r="N167" s="1">
        <v>7.0199999999999999E-2</v>
      </c>
      <c r="P167" s="1">
        <v>1.9300000000000001E-2</v>
      </c>
      <c r="T167" s="1">
        <v>9.4000000000000004E-3</v>
      </c>
      <c r="U167" s="1">
        <v>6.6100000000000006E-2</v>
      </c>
      <c r="V167" s="1">
        <v>2.5499999999999998E-2</v>
      </c>
    </row>
    <row r="168" spans="1:22" x14ac:dyDescent="0.25">
      <c r="A168" t="s">
        <v>203</v>
      </c>
      <c r="B168" t="s">
        <v>248</v>
      </c>
      <c r="C168">
        <v>31</v>
      </c>
      <c r="D168" t="s">
        <v>202</v>
      </c>
      <c r="E168">
        <v>5820</v>
      </c>
      <c r="M168" s="1">
        <v>0.1767</v>
      </c>
      <c r="P168" s="1">
        <v>0.82330000000000003</v>
      </c>
    </row>
    <row r="169" spans="1:22" s="29" customFormat="1" x14ac:dyDescent="0.25">
      <c r="A169" s="29" t="s">
        <v>203</v>
      </c>
      <c r="B169" s="29" t="s">
        <v>249</v>
      </c>
      <c r="C169" s="29">
        <v>27</v>
      </c>
      <c r="D169" s="29" t="s">
        <v>202</v>
      </c>
      <c r="E169" s="29">
        <v>5820</v>
      </c>
      <c r="H169" s="30">
        <v>0.13120000000000001</v>
      </c>
      <c r="J169" s="30">
        <v>6.2300000000000001E-2</v>
      </c>
      <c r="M169" s="30">
        <v>0.28389999999999999</v>
      </c>
      <c r="Q169" s="30">
        <v>6.2300000000000001E-2</v>
      </c>
      <c r="R169" s="30">
        <v>0.18679999999999999</v>
      </c>
      <c r="S169" s="30">
        <v>0.13880000000000001</v>
      </c>
      <c r="T169" s="30">
        <v>1.9900000000000001E-2</v>
      </c>
      <c r="U169" s="30">
        <v>2.93E-2</v>
      </c>
      <c r="V169" s="30">
        <v>8.5699999999999998E-2</v>
      </c>
    </row>
    <row r="170" spans="1:22" x14ac:dyDescent="0.25">
      <c r="A170" t="s">
        <v>204</v>
      </c>
      <c r="B170" t="s">
        <v>204</v>
      </c>
      <c r="C170">
        <v>5820</v>
      </c>
      <c r="D170" t="s">
        <v>204</v>
      </c>
      <c r="E170">
        <v>5820</v>
      </c>
      <c r="F170" s="1">
        <v>1.6E-2</v>
      </c>
      <c r="G170" s="1">
        <v>2.0000000000000001E-4</v>
      </c>
      <c r="H170" s="1">
        <v>4.7399999999999998E-2</v>
      </c>
      <c r="I170" s="1">
        <v>1.09E-2</v>
      </c>
      <c r="J170" s="1">
        <v>2.0500000000000001E-2</v>
      </c>
      <c r="K170" s="1">
        <v>0</v>
      </c>
      <c r="L170" s="1">
        <v>3.6200000000000003E-2</v>
      </c>
      <c r="M170" s="1">
        <v>0.37390000000000001</v>
      </c>
      <c r="N170" s="1">
        <v>2.6599999999999999E-2</v>
      </c>
      <c r="O170" s="1">
        <v>6.9999999999999999E-4</v>
      </c>
      <c r="P170" s="1">
        <v>0.1686</v>
      </c>
      <c r="Q170" s="1">
        <v>3.1699999999999999E-2</v>
      </c>
      <c r="R170" s="1">
        <v>2.2599999999999999E-2</v>
      </c>
      <c r="S170" s="1">
        <v>6.2700000000000006E-2</v>
      </c>
      <c r="T170" s="1">
        <v>2.58E-2</v>
      </c>
      <c r="U170" s="1">
        <v>6.1400000000000003E-2</v>
      </c>
      <c r="V170" s="1">
        <v>9.4799999999999995E-2</v>
      </c>
    </row>
    <row r="172" spans="1:22" x14ac:dyDescent="0.25">
      <c r="A172" t="s">
        <v>252</v>
      </c>
    </row>
    <row r="173" spans="1:22" x14ac:dyDescent="0.25">
      <c r="A173" t="s">
        <v>190</v>
      </c>
      <c r="B173" t="s">
        <v>206</v>
      </c>
      <c r="C173" t="s">
        <v>195</v>
      </c>
      <c r="D173" t="s">
        <v>189</v>
      </c>
      <c r="E173" t="s">
        <v>196</v>
      </c>
      <c r="F173" t="s">
        <v>231</v>
      </c>
      <c r="G173" t="s">
        <v>220</v>
      </c>
      <c r="H173" t="s">
        <v>232</v>
      </c>
      <c r="I173" t="s">
        <v>233</v>
      </c>
      <c r="J173" t="s">
        <v>234</v>
      </c>
      <c r="K173" t="s">
        <v>235</v>
      </c>
      <c r="L173" t="s">
        <v>236</v>
      </c>
      <c r="M173" t="s">
        <v>237</v>
      </c>
      <c r="N173" t="s">
        <v>238</v>
      </c>
      <c r="O173" t="s">
        <v>215</v>
      </c>
      <c r="P173" t="s">
        <v>239</v>
      </c>
      <c r="Q173" t="s">
        <v>240</v>
      </c>
      <c r="R173" t="s">
        <v>241</v>
      </c>
      <c r="S173" t="s">
        <v>242</v>
      </c>
      <c r="T173" t="s">
        <v>243</v>
      </c>
      <c r="U173" t="s">
        <v>244</v>
      </c>
      <c r="V173" t="s">
        <v>245</v>
      </c>
    </row>
    <row r="174" spans="1:22" x14ac:dyDescent="0.25">
      <c r="A174" t="s">
        <v>198</v>
      </c>
      <c r="B174" t="s">
        <v>253</v>
      </c>
      <c r="C174">
        <v>68</v>
      </c>
      <c r="D174" t="s">
        <v>197</v>
      </c>
      <c r="E174">
        <v>5820</v>
      </c>
      <c r="H174" s="1">
        <v>5.1999999999999998E-2</v>
      </c>
      <c r="J174" s="1">
        <v>3.8699999999999998E-2</v>
      </c>
      <c r="M174" s="1">
        <v>0.31319999999999998</v>
      </c>
      <c r="N174" s="1">
        <v>5.1499999999999997E-2</v>
      </c>
      <c r="P174" s="1">
        <v>0.35510000000000003</v>
      </c>
      <c r="S174" s="1">
        <v>5.6300000000000003E-2</v>
      </c>
      <c r="T174" s="1">
        <v>4.6300000000000001E-2</v>
      </c>
      <c r="U174" s="1">
        <v>7.3700000000000002E-2</v>
      </c>
      <c r="V174" s="1">
        <v>1.32E-2</v>
      </c>
    </row>
    <row r="175" spans="1:22" x14ac:dyDescent="0.25">
      <c r="A175" t="s">
        <v>198</v>
      </c>
      <c r="B175" t="s">
        <v>254</v>
      </c>
      <c r="C175">
        <v>102</v>
      </c>
      <c r="D175" t="s">
        <v>197</v>
      </c>
      <c r="E175">
        <v>5820</v>
      </c>
      <c r="F175" s="1">
        <v>1.4800000000000001E-2</v>
      </c>
      <c r="H175" s="1">
        <v>2.5700000000000001E-2</v>
      </c>
      <c r="M175" s="1">
        <v>0.22770000000000001</v>
      </c>
      <c r="N175" s="1">
        <v>3.95E-2</v>
      </c>
      <c r="P175" s="1">
        <v>0.33300000000000002</v>
      </c>
      <c r="R175" s="1">
        <v>1.4800000000000001E-2</v>
      </c>
      <c r="S175" s="1">
        <v>5.3900000000000003E-2</v>
      </c>
      <c r="T175" s="1">
        <v>1.7600000000000001E-2</v>
      </c>
      <c r="U175" s="1">
        <v>0.14510000000000001</v>
      </c>
      <c r="V175" s="1">
        <v>0.128</v>
      </c>
    </row>
    <row r="176" spans="1:22" x14ac:dyDescent="0.25">
      <c r="A176" t="s">
        <v>198</v>
      </c>
      <c r="B176" t="s">
        <v>254</v>
      </c>
      <c r="C176">
        <v>496</v>
      </c>
      <c r="D176" t="s">
        <v>199</v>
      </c>
      <c r="E176">
        <v>5820</v>
      </c>
      <c r="F176" s="1">
        <v>3.9899999999999998E-2</v>
      </c>
      <c r="H176" s="1">
        <v>2.18E-2</v>
      </c>
      <c r="I176" s="1">
        <v>1.6000000000000001E-3</v>
      </c>
      <c r="L176" s="1">
        <v>3.0999999999999999E-3</v>
      </c>
      <c r="M176" s="1">
        <v>0.23649999999999999</v>
      </c>
      <c r="N176" s="1">
        <v>6.0999999999999999E-2</v>
      </c>
      <c r="P176" s="1">
        <v>0.23430000000000001</v>
      </c>
      <c r="Q176" s="1">
        <v>2.7699999999999999E-2</v>
      </c>
      <c r="R176" s="1">
        <v>4.87E-2</v>
      </c>
      <c r="S176" s="1">
        <v>6.0600000000000001E-2</v>
      </c>
      <c r="T176" s="1">
        <v>2.63E-2</v>
      </c>
      <c r="U176" s="1">
        <v>7.5700000000000003E-2</v>
      </c>
      <c r="V176" s="1">
        <v>0.16289999999999999</v>
      </c>
    </row>
    <row r="177" spans="1:22" x14ac:dyDescent="0.25">
      <c r="A177" t="s">
        <v>198</v>
      </c>
      <c r="B177" t="s">
        <v>253</v>
      </c>
      <c r="C177">
        <v>292</v>
      </c>
      <c r="D177" t="s">
        <v>199</v>
      </c>
      <c r="E177">
        <v>5820</v>
      </c>
      <c r="F177" s="1">
        <v>1.2800000000000001E-2</v>
      </c>
      <c r="G177" s="1">
        <v>5.0000000000000001E-4</v>
      </c>
      <c r="H177" s="1">
        <v>0.1072</v>
      </c>
      <c r="I177" s="1">
        <v>1.2200000000000001E-2</v>
      </c>
      <c r="J177" s="1">
        <v>1.6E-2</v>
      </c>
      <c r="L177" s="1">
        <v>1.1000000000000001E-3</v>
      </c>
      <c r="M177" s="1">
        <v>0.34910000000000002</v>
      </c>
      <c r="N177" s="1">
        <v>3.5799999999999998E-2</v>
      </c>
      <c r="P177" s="1">
        <v>0.1721</v>
      </c>
      <c r="Q177" s="1">
        <v>2.4E-2</v>
      </c>
      <c r="R177" s="1">
        <v>3.2500000000000001E-2</v>
      </c>
      <c r="S177" s="1">
        <v>4.99E-2</v>
      </c>
      <c r="T177" s="1">
        <v>9.3600000000000003E-2</v>
      </c>
      <c r="U177" s="1">
        <v>4.58E-2</v>
      </c>
      <c r="V177" s="1">
        <v>4.7399999999999998E-2</v>
      </c>
    </row>
    <row r="178" spans="1:22" x14ac:dyDescent="0.25">
      <c r="A178" t="s">
        <v>198</v>
      </c>
      <c r="B178" t="s">
        <v>253</v>
      </c>
      <c r="C178">
        <v>341</v>
      </c>
      <c r="D178" t="s">
        <v>200</v>
      </c>
      <c r="E178">
        <v>5820</v>
      </c>
      <c r="F178" s="1">
        <v>3.1600000000000003E-2</v>
      </c>
      <c r="H178" s="1">
        <v>5.3999999999999999E-2</v>
      </c>
      <c r="I178" s="1">
        <v>2.1499999999999998E-2</v>
      </c>
      <c r="J178" s="1">
        <v>6.4500000000000002E-2</v>
      </c>
      <c r="L178" s="1">
        <v>1.9800000000000002E-2</v>
      </c>
      <c r="M178" s="1">
        <v>0.37790000000000001</v>
      </c>
      <c r="N178" s="1">
        <v>1.9599999999999999E-2</v>
      </c>
      <c r="P178" s="1">
        <v>0.1164</v>
      </c>
      <c r="Q178" s="1">
        <v>2.86E-2</v>
      </c>
      <c r="R178" s="1">
        <v>4.1799999999999997E-2</v>
      </c>
      <c r="S178" s="1">
        <v>9.3600000000000003E-2</v>
      </c>
      <c r="T178" s="1">
        <v>3.2500000000000001E-2</v>
      </c>
      <c r="U178" s="1">
        <v>9.1999999999999998E-2</v>
      </c>
      <c r="V178" s="1">
        <v>6.3E-3</v>
      </c>
    </row>
    <row r="179" spans="1:22" x14ac:dyDescent="0.25">
      <c r="A179" t="s">
        <v>198</v>
      </c>
      <c r="B179" t="s">
        <v>254</v>
      </c>
      <c r="C179">
        <v>509</v>
      </c>
      <c r="D179" t="s">
        <v>200</v>
      </c>
      <c r="E179">
        <v>5820</v>
      </c>
      <c r="F179" s="1">
        <v>5.0000000000000001E-3</v>
      </c>
      <c r="H179" s="1">
        <v>1.9699999999999999E-2</v>
      </c>
      <c r="J179" s="1">
        <v>3.5000000000000001E-3</v>
      </c>
      <c r="L179" s="1">
        <v>1.67E-2</v>
      </c>
      <c r="M179" s="1">
        <v>0.3639</v>
      </c>
      <c r="N179" s="1">
        <v>2.98E-2</v>
      </c>
      <c r="O179" s="1">
        <v>1.1999999999999999E-3</v>
      </c>
      <c r="P179" s="1">
        <v>0.20810000000000001</v>
      </c>
      <c r="Q179" s="1">
        <v>3.6600000000000001E-2</v>
      </c>
      <c r="R179" s="1">
        <v>9.5999999999999992E-3</v>
      </c>
      <c r="S179" s="1">
        <v>6.4199999999999993E-2</v>
      </c>
      <c r="T179" s="1">
        <v>1.5599999999999999E-2</v>
      </c>
      <c r="U179" s="1">
        <v>8.5400000000000004E-2</v>
      </c>
      <c r="V179" s="1">
        <v>0.14069999999999999</v>
      </c>
    </row>
    <row r="180" spans="1:22" x14ac:dyDescent="0.25">
      <c r="A180" t="s">
        <v>198</v>
      </c>
      <c r="B180" t="s">
        <v>253</v>
      </c>
      <c r="C180">
        <v>217</v>
      </c>
      <c r="D180" t="s">
        <v>201</v>
      </c>
      <c r="E180">
        <v>5820</v>
      </c>
      <c r="F180" s="1">
        <v>3.04E-2</v>
      </c>
      <c r="H180" s="1">
        <v>8.2900000000000001E-2</v>
      </c>
      <c r="I180" s="1">
        <v>3.5200000000000002E-2</v>
      </c>
      <c r="J180" s="1">
        <v>6.4199999999999993E-2</v>
      </c>
      <c r="L180" s="1">
        <v>1.54E-2</v>
      </c>
      <c r="M180" s="1">
        <v>0.22239999999999999</v>
      </c>
      <c r="N180" s="1">
        <v>7.4999999999999997E-2</v>
      </c>
      <c r="P180" s="1">
        <v>0.13780000000000001</v>
      </c>
      <c r="Q180" s="1">
        <v>8.6E-3</v>
      </c>
      <c r="R180" s="1">
        <v>2.3099999999999999E-2</v>
      </c>
      <c r="S180" s="1">
        <v>0.1784</v>
      </c>
      <c r="T180" s="1">
        <v>3.4799999999999998E-2</v>
      </c>
      <c r="U180" s="1">
        <v>8.9599999999999999E-2</v>
      </c>
      <c r="V180" s="1">
        <v>2.2000000000000001E-3</v>
      </c>
    </row>
    <row r="181" spans="1:22" s="29" customFormat="1" x14ac:dyDescent="0.25">
      <c r="A181" s="29" t="s">
        <v>198</v>
      </c>
      <c r="B181" s="29" t="s">
        <v>215</v>
      </c>
      <c r="C181" s="29">
        <v>1</v>
      </c>
      <c r="D181" s="29" t="s">
        <v>201</v>
      </c>
      <c r="E181" s="29">
        <v>5820</v>
      </c>
      <c r="U181" s="30">
        <v>1</v>
      </c>
    </row>
    <row r="182" spans="1:22" x14ac:dyDescent="0.25">
      <c r="A182" t="s">
        <v>198</v>
      </c>
      <c r="B182" t="s">
        <v>254</v>
      </c>
      <c r="C182">
        <v>350</v>
      </c>
      <c r="D182" t="s">
        <v>201</v>
      </c>
      <c r="E182">
        <v>5820</v>
      </c>
      <c r="F182" s="1">
        <v>1.5900000000000001E-2</v>
      </c>
      <c r="H182" s="1">
        <v>3.27E-2</v>
      </c>
      <c r="L182" s="1">
        <v>1.2500000000000001E-2</v>
      </c>
      <c r="M182" s="1">
        <v>0.29530000000000001</v>
      </c>
      <c r="N182" s="1">
        <v>3.6600000000000001E-2</v>
      </c>
      <c r="P182" s="1">
        <v>0.19</v>
      </c>
      <c r="Q182" s="1">
        <v>1.03E-2</v>
      </c>
      <c r="R182" s="1">
        <v>1.9199999999999998E-2</v>
      </c>
      <c r="S182" s="1">
        <v>6.0299999999999999E-2</v>
      </c>
      <c r="T182" s="1">
        <v>2.18E-2</v>
      </c>
      <c r="U182" s="1">
        <v>0.13339999999999999</v>
      </c>
      <c r="V182" s="1">
        <v>0.1721</v>
      </c>
    </row>
    <row r="183" spans="1:22" x14ac:dyDescent="0.25">
      <c r="A183" t="s">
        <v>198</v>
      </c>
      <c r="B183" t="s">
        <v>253</v>
      </c>
      <c r="C183">
        <v>67</v>
      </c>
      <c r="D183" t="s">
        <v>202</v>
      </c>
      <c r="E183">
        <v>5820</v>
      </c>
      <c r="F183" s="1">
        <v>3.7000000000000002E-3</v>
      </c>
      <c r="H183" s="1">
        <v>8.0299999999999996E-2</v>
      </c>
      <c r="M183" s="1">
        <v>0.39939999999999998</v>
      </c>
      <c r="N183" s="1">
        <v>7.5300000000000006E-2</v>
      </c>
      <c r="P183" s="1">
        <v>0.15190000000000001</v>
      </c>
      <c r="Q183" s="1">
        <v>9.6199999999999994E-2</v>
      </c>
      <c r="R183" s="1">
        <v>1.3899999999999999E-2</v>
      </c>
      <c r="S183" s="1">
        <v>9.0999999999999998E-2</v>
      </c>
      <c r="T183" s="1">
        <v>3.6900000000000002E-2</v>
      </c>
      <c r="U183" s="1">
        <v>3.7499999999999999E-2</v>
      </c>
      <c r="V183" s="1">
        <v>1.3899999999999999E-2</v>
      </c>
    </row>
    <row r="184" spans="1:22" x14ac:dyDescent="0.25">
      <c r="A184" t="s">
        <v>198</v>
      </c>
      <c r="B184" t="s">
        <v>254</v>
      </c>
      <c r="C184">
        <v>115</v>
      </c>
      <c r="D184" t="s">
        <v>202</v>
      </c>
      <c r="E184">
        <v>5820</v>
      </c>
      <c r="F184" s="1">
        <v>2.5499999999999998E-2</v>
      </c>
      <c r="H184" s="1">
        <v>1.3899999999999999E-2</v>
      </c>
      <c r="L184" s="1">
        <v>2.2000000000000001E-3</v>
      </c>
      <c r="M184" s="1">
        <v>0.24690000000000001</v>
      </c>
      <c r="N184" s="1">
        <v>6.0400000000000002E-2</v>
      </c>
      <c r="P184" s="1">
        <v>0.2344</v>
      </c>
      <c r="Q184" s="1">
        <v>4.3299999999999998E-2</v>
      </c>
      <c r="R184" s="1">
        <v>1.3100000000000001E-2</v>
      </c>
      <c r="S184" s="1">
        <v>8.6999999999999994E-2</v>
      </c>
      <c r="T184" s="1">
        <v>2.06E-2</v>
      </c>
      <c r="U184" s="1">
        <v>6.7699999999999996E-2</v>
      </c>
      <c r="V184" s="1">
        <v>0.18509999999999999</v>
      </c>
    </row>
    <row r="185" spans="1:22" x14ac:dyDescent="0.25">
      <c r="A185" t="s">
        <v>203</v>
      </c>
      <c r="B185" t="s">
        <v>254</v>
      </c>
      <c r="C185">
        <v>674</v>
      </c>
      <c r="D185" t="s">
        <v>199</v>
      </c>
      <c r="E185">
        <v>5820</v>
      </c>
      <c r="F185" s="1">
        <v>1.2E-2</v>
      </c>
      <c r="H185" s="1">
        <v>2.47E-2</v>
      </c>
      <c r="I185" s="1">
        <v>5.0000000000000001E-4</v>
      </c>
      <c r="J185" s="1">
        <v>4.0000000000000002E-4</v>
      </c>
      <c r="K185" s="1">
        <v>5.0000000000000001E-4</v>
      </c>
      <c r="L185" s="1">
        <v>3.7499999999999999E-2</v>
      </c>
      <c r="M185" s="1">
        <v>0.33329999999999999</v>
      </c>
      <c r="N185" s="1">
        <v>4.3E-3</v>
      </c>
      <c r="P185" s="1">
        <v>0.1676</v>
      </c>
      <c r="Q185" s="1">
        <v>2.7300000000000001E-2</v>
      </c>
      <c r="R185" s="1">
        <v>5.7999999999999996E-3</v>
      </c>
      <c r="S185" s="1">
        <v>5.4399999999999997E-2</v>
      </c>
      <c r="T185" s="1">
        <v>4.1099999999999998E-2</v>
      </c>
      <c r="U185" s="1">
        <v>6.2600000000000003E-2</v>
      </c>
      <c r="V185" s="1">
        <v>0.2281</v>
      </c>
    </row>
    <row r="186" spans="1:22" x14ac:dyDescent="0.25">
      <c r="A186" t="s">
        <v>203</v>
      </c>
      <c r="B186" t="s">
        <v>253</v>
      </c>
      <c r="C186">
        <v>512</v>
      </c>
      <c r="D186" t="s">
        <v>199</v>
      </c>
      <c r="E186">
        <v>5820</v>
      </c>
      <c r="F186" s="1">
        <v>2.7699999999999999E-2</v>
      </c>
      <c r="H186" s="1">
        <v>5.5899999999999998E-2</v>
      </c>
      <c r="I186" s="1">
        <v>4.87E-2</v>
      </c>
      <c r="J186" s="1">
        <v>6.7500000000000004E-2</v>
      </c>
      <c r="L186" s="1">
        <v>5.6599999999999998E-2</v>
      </c>
      <c r="M186" s="1">
        <v>0.41560000000000002</v>
      </c>
      <c r="N186" s="1">
        <v>2.12E-2</v>
      </c>
      <c r="O186" s="1">
        <v>8.8000000000000005E-3</v>
      </c>
      <c r="P186" s="1">
        <v>0.114</v>
      </c>
      <c r="Q186" s="1">
        <v>2.8500000000000001E-2</v>
      </c>
      <c r="R186" s="1">
        <v>2.18E-2</v>
      </c>
      <c r="S186" s="1">
        <v>6.8699999999999997E-2</v>
      </c>
      <c r="T186" s="1">
        <v>1.21E-2</v>
      </c>
      <c r="U186" s="1">
        <v>4.6699999999999998E-2</v>
      </c>
      <c r="V186" s="1">
        <v>6.1999999999999998E-3</v>
      </c>
    </row>
    <row r="187" spans="1:22" x14ac:dyDescent="0.25">
      <c r="A187" t="s">
        <v>203</v>
      </c>
      <c r="B187" t="s">
        <v>254</v>
      </c>
      <c r="C187">
        <v>644</v>
      </c>
      <c r="D187" t="s">
        <v>200</v>
      </c>
      <c r="E187">
        <v>5820</v>
      </c>
      <c r="F187" s="1">
        <v>6.7999999999999996E-3</v>
      </c>
      <c r="H187" s="1">
        <v>3.5999999999999997E-2</v>
      </c>
      <c r="L187" s="1">
        <v>6.25E-2</v>
      </c>
      <c r="M187" s="1">
        <v>0.45169999999999999</v>
      </c>
      <c r="N187" s="1">
        <v>8.3000000000000001E-3</v>
      </c>
      <c r="O187" s="1">
        <v>4.0000000000000002E-4</v>
      </c>
      <c r="P187" s="1">
        <v>0.1578</v>
      </c>
      <c r="Q187" s="1">
        <v>3.6999999999999998E-2</v>
      </c>
      <c r="R187" s="1">
        <v>1.6299999999999999E-2</v>
      </c>
      <c r="S187" s="1">
        <v>3.7499999999999999E-2</v>
      </c>
      <c r="T187" s="1">
        <v>1.3899999999999999E-2</v>
      </c>
      <c r="U187" s="1">
        <v>3.7600000000000001E-2</v>
      </c>
      <c r="V187" s="1">
        <v>0.1343</v>
      </c>
    </row>
    <row r="188" spans="1:22" x14ac:dyDescent="0.25">
      <c r="A188" t="s">
        <v>203</v>
      </c>
      <c r="B188" t="s">
        <v>253</v>
      </c>
      <c r="C188">
        <v>496</v>
      </c>
      <c r="D188" t="s">
        <v>200</v>
      </c>
      <c r="E188">
        <v>5820</v>
      </c>
      <c r="F188" s="1">
        <v>1.8200000000000001E-2</v>
      </c>
      <c r="G188" s="1">
        <v>1.2999999999999999E-3</v>
      </c>
      <c r="H188" s="1">
        <v>7.6799999999999993E-2</v>
      </c>
      <c r="I188" s="1">
        <v>2.92E-2</v>
      </c>
      <c r="J188" s="1">
        <v>5.8900000000000001E-2</v>
      </c>
      <c r="L188" s="1">
        <v>8.4099999999999994E-2</v>
      </c>
      <c r="M188" s="1">
        <v>0.44390000000000002</v>
      </c>
      <c r="N188" s="1">
        <v>1.0500000000000001E-2</v>
      </c>
      <c r="P188" s="1">
        <v>0.1113</v>
      </c>
      <c r="Q188" s="1">
        <v>3.3300000000000003E-2</v>
      </c>
      <c r="R188" s="1">
        <v>2.8199999999999999E-2</v>
      </c>
      <c r="S188" s="1">
        <v>5.9299999999999999E-2</v>
      </c>
      <c r="T188" s="1">
        <v>1.46E-2</v>
      </c>
      <c r="U188" s="1">
        <v>2.98E-2</v>
      </c>
      <c r="V188" s="1">
        <v>5.0000000000000001E-4</v>
      </c>
    </row>
    <row r="189" spans="1:22" x14ac:dyDescent="0.25">
      <c r="A189" t="s">
        <v>203</v>
      </c>
      <c r="B189" t="s">
        <v>254</v>
      </c>
      <c r="C189">
        <v>407</v>
      </c>
      <c r="D189" t="s">
        <v>201</v>
      </c>
      <c r="E189">
        <v>5820</v>
      </c>
      <c r="F189" s="1">
        <v>1.6500000000000001E-2</v>
      </c>
      <c r="H189" s="1">
        <v>5.1999999999999998E-2</v>
      </c>
      <c r="K189" s="1">
        <v>2.0000000000000001E-4</v>
      </c>
      <c r="L189" s="1">
        <v>9.1999999999999998E-3</v>
      </c>
      <c r="M189" s="1">
        <v>0.39610000000000001</v>
      </c>
      <c r="N189" s="1">
        <v>4.4999999999999997E-3</v>
      </c>
      <c r="P189" s="1">
        <v>0.12180000000000001</v>
      </c>
      <c r="Q189" s="1">
        <v>3.32E-2</v>
      </c>
      <c r="R189" s="1">
        <v>3.9899999999999998E-2</v>
      </c>
      <c r="S189" s="1">
        <v>3.2899999999999999E-2</v>
      </c>
      <c r="T189" s="1">
        <v>5.3699999999999998E-2</v>
      </c>
      <c r="U189" s="1">
        <v>9.9000000000000005E-2</v>
      </c>
      <c r="V189" s="1">
        <v>0.14099999999999999</v>
      </c>
    </row>
    <row r="190" spans="1:22" x14ac:dyDescent="0.25">
      <c r="A190" t="s">
        <v>203</v>
      </c>
      <c r="B190" t="s">
        <v>253</v>
      </c>
      <c r="C190">
        <v>328</v>
      </c>
      <c r="D190" t="s">
        <v>201</v>
      </c>
      <c r="E190">
        <v>5820</v>
      </c>
      <c r="F190" s="1">
        <v>1.6899999999999998E-2</v>
      </c>
      <c r="H190" s="1">
        <v>8.4400000000000003E-2</v>
      </c>
      <c r="I190" s="1">
        <v>4.2299999999999997E-2</v>
      </c>
      <c r="J190" s="1">
        <v>2.5700000000000001E-2</v>
      </c>
      <c r="L190" s="1">
        <v>0.11559999999999999</v>
      </c>
      <c r="M190" s="1">
        <v>0.36980000000000002</v>
      </c>
      <c r="N190" s="1">
        <v>2.1700000000000001E-2</v>
      </c>
      <c r="O190" s="1">
        <v>2E-3</v>
      </c>
      <c r="P190" s="1">
        <v>6.9800000000000001E-2</v>
      </c>
      <c r="Q190" s="1">
        <v>8.8499999999999995E-2</v>
      </c>
      <c r="R190" s="1">
        <v>2.7799999999999998E-2</v>
      </c>
      <c r="S190" s="1">
        <v>6.7400000000000002E-2</v>
      </c>
      <c r="T190" s="1">
        <v>1.4999999999999999E-2</v>
      </c>
      <c r="U190" s="1">
        <v>4.8800000000000003E-2</v>
      </c>
      <c r="V190" s="1">
        <v>4.4000000000000003E-3</v>
      </c>
    </row>
    <row r="191" spans="1:22" x14ac:dyDescent="0.25">
      <c r="A191" t="s">
        <v>203</v>
      </c>
      <c r="B191" t="s">
        <v>253</v>
      </c>
      <c r="C191">
        <v>83</v>
      </c>
      <c r="D191" t="s">
        <v>202</v>
      </c>
      <c r="E191">
        <v>5820</v>
      </c>
      <c r="H191" s="1">
        <v>6.08E-2</v>
      </c>
      <c r="I191" s="1">
        <v>1.7299999999999999E-2</v>
      </c>
      <c r="J191" s="1">
        <v>5.3900000000000003E-2</v>
      </c>
      <c r="L191" s="1">
        <v>2.5999999999999999E-2</v>
      </c>
      <c r="M191" s="1">
        <v>0.55159999999999998</v>
      </c>
      <c r="N191" s="1">
        <v>1.29E-2</v>
      </c>
      <c r="P191" s="1">
        <v>0.13700000000000001</v>
      </c>
      <c r="S191" s="1">
        <v>7.85E-2</v>
      </c>
      <c r="T191" s="1">
        <v>1.37E-2</v>
      </c>
      <c r="U191" s="1">
        <v>4.82E-2</v>
      </c>
    </row>
    <row r="192" spans="1:22" x14ac:dyDescent="0.25">
      <c r="A192" t="s">
        <v>203</v>
      </c>
      <c r="B192" t="s">
        <v>254</v>
      </c>
      <c r="C192">
        <v>118</v>
      </c>
      <c r="D192" t="s">
        <v>202</v>
      </c>
      <c r="E192">
        <v>5820</v>
      </c>
      <c r="F192" s="1">
        <v>4.4999999999999997E-3</v>
      </c>
      <c r="H192" s="1">
        <v>3.8699999999999998E-2</v>
      </c>
      <c r="L192" s="1">
        <v>1.9400000000000001E-2</v>
      </c>
      <c r="M192" s="1">
        <v>0.49509999999999998</v>
      </c>
      <c r="N192" s="1">
        <v>2.4199999999999999E-2</v>
      </c>
      <c r="P192" s="1">
        <v>0.1082</v>
      </c>
      <c r="Q192" s="1">
        <v>1.6899999999999998E-2</v>
      </c>
      <c r="R192" s="1">
        <v>4.2099999999999999E-2</v>
      </c>
      <c r="S192" s="1">
        <v>9.11E-2</v>
      </c>
      <c r="T192" s="1">
        <v>1.5599999999999999E-2</v>
      </c>
      <c r="U192" s="1">
        <v>3.0700000000000002E-2</v>
      </c>
      <c r="V192" s="1">
        <v>0.1135</v>
      </c>
    </row>
    <row r="193" spans="1:22" x14ac:dyDescent="0.25">
      <c r="A193" t="s">
        <v>204</v>
      </c>
      <c r="B193" t="s">
        <v>204</v>
      </c>
      <c r="C193">
        <v>5820</v>
      </c>
      <c r="D193" t="s">
        <v>204</v>
      </c>
      <c r="E193">
        <v>5820</v>
      </c>
      <c r="F193" s="1">
        <v>1.6E-2</v>
      </c>
      <c r="G193" s="1">
        <v>2.0000000000000001E-4</v>
      </c>
      <c r="H193" s="1">
        <v>4.7399999999999998E-2</v>
      </c>
      <c r="I193" s="1">
        <v>1.09E-2</v>
      </c>
      <c r="J193" s="1">
        <v>2.0500000000000001E-2</v>
      </c>
      <c r="K193" s="1">
        <v>0</v>
      </c>
      <c r="L193" s="1">
        <v>3.6200000000000003E-2</v>
      </c>
      <c r="M193" s="1">
        <v>0.37390000000000001</v>
      </c>
      <c r="N193" s="1">
        <v>2.6599999999999999E-2</v>
      </c>
      <c r="O193" s="1">
        <v>6.9999999999999999E-4</v>
      </c>
      <c r="P193" s="1">
        <v>0.1686</v>
      </c>
      <c r="Q193" s="1">
        <v>3.1699999999999999E-2</v>
      </c>
      <c r="R193" s="1">
        <v>2.2599999999999999E-2</v>
      </c>
      <c r="S193" s="1">
        <v>6.2700000000000006E-2</v>
      </c>
      <c r="T193" s="1">
        <v>2.58E-2</v>
      </c>
      <c r="U193" s="1">
        <v>6.1400000000000003E-2</v>
      </c>
      <c r="V193" s="1">
        <v>9.4799999999999995E-2</v>
      </c>
    </row>
    <row r="195" spans="1:22" x14ac:dyDescent="0.25">
      <c r="A195" t="s">
        <v>255</v>
      </c>
    </row>
    <row r="196" spans="1:22" x14ac:dyDescent="0.25">
      <c r="A196" t="s">
        <v>190</v>
      </c>
      <c r="B196" t="s">
        <v>206</v>
      </c>
      <c r="C196" t="s">
        <v>195</v>
      </c>
      <c r="D196" t="s">
        <v>189</v>
      </c>
      <c r="E196" t="s">
        <v>196</v>
      </c>
      <c r="F196" t="s">
        <v>231</v>
      </c>
      <c r="G196" t="s">
        <v>220</v>
      </c>
      <c r="H196" t="s">
        <v>232</v>
      </c>
      <c r="I196" t="s">
        <v>233</v>
      </c>
      <c r="J196" t="s">
        <v>234</v>
      </c>
      <c r="K196" t="s">
        <v>235</v>
      </c>
      <c r="L196" t="s">
        <v>236</v>
      </c>
      <c r="M196" t="s">
        <v>237</v>
      </c>
      <c r="N196" t="s">
        <v>238</v>
      </c>
      <c r="O196" t="s">
        <v>215</v>
      </c>
      <c r="P196" t="s">
        <v>239</v>
      </c>
      <c r="Q196" t="s">
        <v>240</v>
      </c>
      <c r="R196" t="s">
        <v>241</v>
      </c>
      <c r="S196" t="s">
        <v>242</v>
      </c>
      <c r="T196" t="s">
        <v>243</v>
      </c>
      <c r="U196" t="s">
        <v>244</v>
      </c>
      <c r="V196" t="s">
        <v>245</v>
      </c>
    </row>
    <row r="197" spans="1:22" x14ac:dyDescent="0.25">
      <c r="A197" t="s">
        <v>198</v>
      </c>
      <c r="B197" t="s">
        <v>228</v>
      </c>
      <c r="C197">
        <v>72</v>
      </c>
      <c r="D197" t="s">
        <v>197</v>
      </c>
      <c r="E197">
        <v>5820</v>
      </c>
      <c r="F197" s="1">
        <v>8.0000000000000002E-3</v>
      </c>
      <c r="H197" s="1">
        <v>2.3599999999999999E-2</v>
      </c>
      <c r="M197" s="1">
        <v>0.1487</v>
      </c>
      <c r="N197" s="1">
        <v>2.6499999999999999E-2</v>
      </c>
      <c r="P197" s="1">
        <v>0.50480000000000003</v>
      </c>
      <c r="R197" s="1">
        <v>1.18E-2</v>
      </c>
      <c r="S197" s="1">
        <v>3.4000000000000002E-2</v>
      </c>
      <c r="T197" s="1">
        <v>2.6499999999999999E-2</v>
      </c>
      <c r="U197" s="1">
        <v>0.15720000000000001</v>
      </c>
      <c r="V197" s="1">
        <v>5.8900000000000001E-2</v>
      </c>
    </row>
    <row r="198" spans="1:22" x14ac:dyDescent="0.25">
      <c r="A198" t="s">
        <v>198</v>
      </c>
      <c r="B198" t="s">
        <v>229</v>
      </c>
      <c r="C198">
        <v>98</v>
      </c>
      <c r="D198" t="s">
        <v>197</v>
      </c>
      <c r="E198">
        <v>5820</v>
      </c>
      <c r="F198" s="1">
        <v>9.5999999999999992E-3</v>
      </c>
      <c r="H198" s="1">
        <v>4.65E-2</v>
      </c>
      <c r="J198" s="1">
        <v>2.8000000000000001E-2</v>
      </c>
      <c r="M198" s="1">
        <v>0.35370000000000001</v>
      </c>
      <c r="N198" s="1">
        <v>5.8799999999999998E-2</v>
      </c>
      <c r="P198" s="1">
        <v>0.2092</v>
      </c>
      <c r="R198" s="1">
        <v>6.4999999999999997E-3</v>
      </c>
      <c r="S198" s="1">
        <v>7.1800000000000003E-2</v>
      </c>
      <c r="T198" s="1">
        <v>3.1099999999999999E-2</v>
      </c>
      <c r="U198" s="1">
        <v>8.3699999999999997E-2</v>
      </c>
      <c r="V198" s="1">
        <v>0.1011</v>
      </c>
    </row>
    <row r="199" spans="1:22" x14ac:dyDescent="0.25">
      <c r="A199" t="s">
        <v>198</v>
      </c>
      <c r="B199" t="s">
        <v>228</v>
      </c>
      <c r="C199">
        <v>316</v>
      </c>
      <c r="D199" t="s">
        <v>199</v>
      </c>
      <c r="E199">
        <v>5820</v>
      </c>
      <c r="F199" s="1">
        <v>1.6899999999999998E-2</v>
      </c>
      <c r="H199" s="1">
        <v>4.02E-2</v>
      </c>
      <c r="I199" s="1">
        <v>1E-3</v>
      </c>
      <c r="J199" s="1">
        <v>2.2000000000000001E-3</v>
      </c>
      <c r="L199" s="1">
        <v>2.3999999999999998E-3</v>
      </c>
      <c r="M199" s="1">
        <v>0.25019999999999998</v>
      </c>
      <c r="N199" s="1">
        <v>3.2399999999999998E-2</v>
      </c>
      <c r="P199" s="1">
        <v>0.2167</v>
      </c>
      <c r="Q199" s="1">
        <v>9.3299999999999994E-2</v>
      </c>
      <c r="R199" s="1">
        <v>3.7000000000000002E-3</v>
      </c>
      <c r="S199" s="1">
        <v>6.4899999999999999E-2</v>
      </c>
      <c r="T199" s="1">
        <v>5.45E-2</v>
      </c>
      <c r="U199" s="1">
        <v>9.3399999999999997E-2</v>
      </c>
      <c r="V199" s="1">
        <v>0.1283</v>
      </c>
    </row>
    <row r="200" spans="1:22" x14ac:dyDescent="0.25">
      <c r="A200" t="s">
        <v>198</v>
      </c>
      <c r="B200" t="s">
        <v>229</v>
      </c>
      <c r="C200">
        <v>450</v>
      </c>
      <c r="D200" t="s">
        <v>199</v>
      </c>
      <c r="E200">
        <v>5820</v>
      </c>
      <c r="F200" s="1">
        <v>3.3700000000000001E-2</v>
      </c>
      <c r="G200" s="1">
        <v>2.9999999999999997E-4</v>
      </c>
      <c r="H200" s="1">
        <v>6.1600000000000002E-2</v>
      </c>
      <c r="I200" s="1">
        <v>7.4999999999999997E-3</v>
      </c>
      <c r="J200" s="1">
        <v>7.7999999999999996E-3</v>
      </c>
      <c r="L200" s="1">
        <v>2.2000000000000001E-3</v>
      </c>
      <c r="M200" s="1">
        <v>0.29320000000000002</v>
      </c>
      <c r="N200" s="1">
        <v>5.7299999999999997E-2</v>
      </c>
      <c r="P200" s="1">
        <v>0.2059</v>
      </c>
      <c r="Q200" s="1">
        <v>3.3999999999999998E-3</v>
      </c>
      <c r="R200" s="1">
        <v>5.6000000000000001E-2</v>
      </c>
      <c r="S200" s="1">
        <v>5.2699999999999997E-2</v>
      </c>
      <c r="T200" s="1">
        <v>5.2900000000000003E-2</v>
      </c>
      <c r="U200" s="1">
        <v>5.1799999999999999E-2</v>
      </c>
      <c r="V200" s="1">
        <v>0.1135</v>
      </c>
    </row>
    <row r="201" spans="1:22" x14ac:dyDescent="0.25">
      <c r="A201" t="s">
        <v>198</v>
      </c>
      <c r="B201" t="s">
        <v>229</v>
      </c>
      <c r="C201">
        <v>572</v>
      </c>
      <c r="D201" t="s">
        <v>200</v>
      </c>
      <c r="E201">
        <v>5820</v>
      </c>
      <c r="F201" s="1">
        <v>1.49E-2</v>
      </c>
      <c r="H201" s="1">
        <v>3.56E-2</v>
      </c>
      <c r="I201" s="1">
        <v>5.4000000000000003E-3</v>
      </c>
      <c r="J201" s="1">
        <v>3.0300000000000001E-2</v>
      </c>
      <c r="L201" s="1">
        <v>1.6400000000000001E-2</v>
      </c>
      <c r="M201" s="1">
        <v>0.39379999999999998</v>
      </c>
      <c r="N201" s="1">
        <v>2.06E-2</v>
      </c>
      <c r="O201" s="1">
        <v>1E-3</v>
      </c>
      <c r="P201" s="1">
        <v>0.14430000000000001</v>
      </c>
      <c r="Q201" s="1">
        <v>3.61E-2</v>
      </c>
      <c r="R201" s="1">
        <v>2.3099999999999999E-2</v>
      </c>
      <c r="S201" s="1">
        <v>7.7499999999999999E-2</v>
      </c>
      <c r="T201" s="1">
        <v>2.0500000000000001E-2</v>
      </c>
      <c r="U201" s="1">
        <v>9.1999999999999998E-2</v>
      </c>
      <c r="V201" s="1">
        <v>8.8400000000000006E-2</v>
      </c>
    </row>
    <row r="202" spans="1:22" x14ac:dyDescent="0.25">
      <c r="A202" t="s">
        <v>198</v>
      </c>
      <c r="B202" t="s">
        <v>228</v>
      </c>
      <c r="C202">
        <v>268</v>
      </c>
      <c r="D202" t="s">
        <v>200</v>
      </c>
      <c r="E202">
        <v>5820</v>
      </c>
      <c r="F202" s="1">
        <v>1.8100000000000002E-2</v>
      </c>
      <c r="H202" s="1">
        <v>2.87E-2</v>
      </c>
      <c r="I202" s="1">
        <v>1.8100000000000002E-2</v>
      </c>
      <c r="J202" s="1">
        <v>2.24E-2</v>
      </c>
      <c r="L202" s="1">
        <v>2.2599999999999999E-2</v>
      </c>
      <c r="M202" s="1">
        <v>0.29039999999999999</v>
      </c>
      <c r="N202" s="1">
        <v>3.6499999999999998E-2</v>
      </c>
      <c r="P202" s="1">
        <v>0.2505</v>
      </c>
      <c r="Q202" s="1">
        <v>2.64E-2</v>
      </c>
      <c r="R202" s="1">
        <v>2.1600000000000001E-2</v>
      </c>
      <c r="S202" s="1">
        <v>7.3899999999999993E-2</v>
      </c>
      <c r="T202" s="1">
        <v>2.8400000000000002E-2</v>
      </c>
      <c r="U202" s="1">
        <v>7.9000000000000001E-2</v>
      </c>
      <c r="V202" s="1">
        <v>8.3500000000000005E-2</v>
      </c>
    </row>
    <row r="203" spans="1:22" x14ac:dyDescent="0.25">
      <c r="A203" t="s">
        <v>198</v>
      </c>
      <c r="B203" t="s">
        <v>228</v>
      </c>
      <c r="C203">
        <v>216</v>
      </c>
      <c r="D203" t="s">
        <v>201</v>
      </c>
      <c r="E203">
        <v>5820</v>
      </c>
      <c r="F203" s="1">
        <v>5.1700000000000003E-2</v>
      </c>
      <c r="H203" s="1">
        <v>0.05</v>
      </c>
      <c r="I203" s="1">
        <v>7.7999999999999996E-3</v>
      </c>
      <c r="J203" s="1">
        <v>3.39E-2</v>
      </c>
      <c r="L203" s="1">
        <v>2.2599999999999999E-2</v>
      </c>
      <c r="M203" s="1">
        <v>0.22900000000000001</v>
      </c>
      <c r="N203" s="1">
        <v>3.2500000000000001E-2</v>
      </c>
      <c r="P203" s="1">
        <v>0.21149999999999999</v>
      </c>
      <c r="Q203" s="1">
        <v>1.2E-2</v>
      </c>
      <c r="R203" s="1">
        <v>1.7899999999999999E-2</v>
      </c>
      <c r="S203" s="1">
        <v>7.4800000000000005E-2</v>
      </c>
      <c r="T203" s="1">
        <v>4.7699999999999999E-2</v>
      </c>
      <c r="U203" s="1">
        <v>0.105</v>
      </c>
      <c r="V203" s="1">
        <v>0.1038</v>
      </c>
    </row>
    <row r="204" spans="1:22" x14ac:dyDescent="0.25">
      <c r="A204" t="s">
        <v>198</v>
      </c>
      <c r="B204" t="s">
        <v>229</v>
      </c>
      <c r="C204">
        <v>342</v>
      </c>
      <c r="D204" t="s">
        <v>201</v>
      </c>
      <c r="E204">
        <v>5820</v>
      </c>
      <c r="F204" s="1">
        <v>1.2800000000000001E-2</v>
      </c>
      <c r="H204" s="1">
        <v>5.2699999999999997E-2</v>
      </c>
      <c r="I204" s="1">
        <v>1.5100000000000001E-2</v>
      </c>
      <c r="J204" s="1">
        <v>2.1999999999999999E-2</v>
      </c>
      <c r="L204" s="1">
        <v>1.11E-2</v>
      </c>
      <c r="M204" s="1">
        <v>0.27410000000000001</v>
      </c>
      <c r="N204" s="1">
        <v>5.6800000000000003E-2</v>
      </c>
      <c r="P204" s="1">
        <v>0.15939999999999999</v>
      </c>
      <c r="Q204" s="1">
        <v>9.1000000000000004E-3</v>
      </c>
      <c r="R204" s="1">
        <v>2.1600000000000001E-2</v>
      </c>
      <c r="S204" s="1">
        <v>0.1145</v>
      </c>
      <c r="T204" s="1">
        <v>2.1100000000000001E-2</v>
      </c>
      <c r="U204" s="1">
        <v>0.1208</v>
      </c>
      <c r="V204" s="1">
        <v>0.1089</v>
      </c>
    </row>
    <row r="205" spans="1:22" x14ac:dyDescent="0.25">
      <c r="A205" t="s">
        <v>198</v>
      </c>
      <c r="B205" t="s">
        <v>228</v>
      </c>
      <c r="C205">
        <v>54</v>
      </c>
      <c r="D205" t="s">
        <v>202</v>
      </c>
      <c r="E205">
        <v>5820</v>
      </c>
      <c r="F205" s="1">
        <v>4.5999999999999999E-2</v>
      </c>
      <c r="H205" s="1">
        <v>9.9099999999999994E-2</v>
      </c>
      <c r="M205" s="1">
        <v>0.1971</v>
      </c>
      <c r="N205" s="1">
        <v>7.6300000000000007E-2</v>
      </c>
      <c r="P205" s="1">
        <v>0.17130000000000001</v>
      </c>
      <c r="Q205" s="1">
        <v>0.1241</v>
      </c>
      <c r="S205" s="1">
        <v>5.45E-2</v>
      </c>
      <c r="T205" s="1">
        <v>2.3300000000000001E-2</v>
      </c>
      <c r="U205" s="1">
        <v>0.1067</v>
      </c>
      <c r="V205" s="1">
        <v>0.10150000000000001</v>
      </c>
    </row>
    <row r="206" spans="1:22" x14ac:dyDescent="0.25">
      <c r="A206" t="s">
        <v>198</v>
      </c>
      <c r="B206" t="s">
        <v>229</v>
      </c>
      <c r="C206">
        <v>128</v>
      </c>
      <c r="D206" t="s">
        <v>202</v>
      </c>
      <c r="E206">
        <v>5820</v>
      </c>
      <c r="F206" s="1">
        <v>9.4000000000000004E-3</v>
      </c>
      <c r="H206" s="1">
        <v>2.1299999999999999E-2</v>
      </c>
      <c r="L206" s="1">
        <v>1.8E-3</v>
      </c>
      <c r="M206" s="1">
        <v>0.33310000000000001</v>
      </c>
      <c r="N206" s="1">
        <v>6.3E-2</v>
      </c>
      <c r="P206" s="1">
        <v>0.21310000000000001</v>
      </c>
      <c r="Q206" s="1">
        <v>4.5499999999999999E-2</v>
      </c>
      <c r="R206" s="1">
        <v>1.72E-2</v>
      </c>
      <c r="S206" s="1">
        <v>9.8000000000000004E-2</v>
      </c>
      <c r="T206" s="1">
        <v>2.76E-2</v>
      </c>
      <c r="U206" s="1">
        <v>4.2500000000000003E-2</v>
      </c>
      <c r="V206" s="1">
        <v>0.12759999999999999</v>
      </c>
    </row>
    <row r="207" spans="1:22" x14ac:dyDescent="0.25">
      <c r="A207" t="s">
        <v>203</v>
      </c>
      <c r="B207" t="s">
        <v>229</v>
      </c>
      <c r="C207">
        <v>804</v>
      </c>
      <c r="D207" t="s">
        <v>199</v>
      </c>
      <c r="E207">
        <v>5820</v>
      </c>
      <c r="F207" s="1">
        <v>1.9800000000000002E-2</v>
      </c>
      <c r="H207" s="1">
        <v>3.9600000000000003E-2</v>
      </c>
      <c r="I207" s="1">
        <v>2.4500000000000001E-2</v>
      </c>
      <c r="J207" s="1">
        <v>3.0300000000000001E-2</v>
      </c>
      <c r="K207" s="1">
        <v>2.9999999999999997E-4</v>
      </c>
      <c r="L207" s="1">
        <v>4.3799999999999999E-2</v>
      </c>
      <c r="M207" s="1">
        <v>0.38080000000000003</v>
      </c>
      <c r="N207" s="1">
        <v>9.1999999999999998E-3</v>
      </c>
      <c r="O207" s="1">
        <v>4.4000000000000003E-3</v>
      </c>
      <c r="P207" s="1">
        <v>0.1429</v>
      </c>
      <c r="Q207" s="1">
        <v>2.9899999999999999E-2</v>
      </c>
      <c r="R207" s="1">
        <v>1.37E-2</v>
      </c>
      <c r="S207" s="1">
        <v>6.2100000000000002E-2</v>
      </c>
      <c r="T207" s="1">
        <v>2.9700000000000001E-2</v>
      </c>
      <c r="U207" s="1">
        <v>4.6600000000000003E-2</v>
      </c>
      <c r="V207" s="1">
        <v>0.12239999999999999</v>
      </c>
    </row>
    <row r="208" spans="1:22" x14ac:dyDescent="0.25">
      <c r="A208" t="s">
        <v>203</v>
      </c>
      <c r="B208" t="s">
        <v>228</v>
      </c>
      <c r="C208">
        <v>358</v>
      </c>
      <c r="D208" t="s">
        <v>199</v>
      </c>
      <c r="E208">
        <v>5820</v>
      </c>
      <c r="F208" s="1">
        <v>1.2800000000000001E-2</v>
      </c>
      <c r="H208" s="1">
        <v>3.15E-2</v>
      </c>
      <c r="I208" s="1">
        <v>2.2000000000000001E-3</v>
      </c>
      <c r="J208" s="1">
        <v>3.2000000000000001E-2</v>
      </c>
      <c r="L208" s="1">
        <v>6.0999999999999999E-2</v>
      </c>
      <c r="M208" s="1">
        <v>0.27639999999999998</v>
      </c>
      <c r="N208" s="1">
        <v>3.4000000000000002E-2</v>
      </c>
      <c r="P208" s="1">
        <v>0.15329999999999999</v>
      </c>
      <c r="Q208" s="1">
        <v>9.7999999999999997E-3</v>
      </c>
      <c r="R208" s="1">
        <v>4.4000000000000003E-3</v>
      </c>
      <c r="S208" s="1">
        <v>5.04E-2</v>
      </c>
      <c r="T208" s="1">
        <v>1.4800000000000001E-2</v>
      </c>
      <c r="U208" s="1">
        <v>0.13070000000000001</v>
      </c>
      <c r="V208" s="1">
        <v>0.1865</v>
      </c>
    </row>
    <row r="209" spans="1:22" x14ac:dyDescent="0.25">
      <c r="A209" t="s">
        <v>203</v>
      </c>
      <c r="B209" t="s">
        <v>229</v>
      </c>
      <c r="C209">
        <v>756</v>
      </c>
      <c r="D209" t="s">
        <v>200</v>
      </c>
      <c r="E209">
        <v>5820</v>
      </c>
      <c r="F209" s="1">
        <v>8.8000000000000005E-3</v>
      </c>
      <c r="G209" s="1">
        <v>6.9999999999999999E-4</v>
      </c>
      <c r="H209" s="1">
        <v>4.4900000000000002E-2</v>
      </c>
      <c r="I209" s="1">
        <v>1.5299999999999999E-2</v>
      </c>
      <c r="J209" s="1">
        <v>2.07E-2</v>
      </c>
      <c r="L209" s="1">
        <v>7.0400000000000004E-2</v>
      </c>
      <c r="M209" s="1">
        <v>0.4713</v>
      </c>
      <c r="N209" s="1">
        <v>5.7999999999999996E-3</v>
      </c>
      <c r="O209" s="1">
        <v>2.9999999999999997E-4</v>
      </c>
      <c r="P209" s="1">
        <v>0.1346</v>
      </c>
      <c r="Q209" s="1">
        <v>3.5999999999999997E-2</v>
      </c>
      <c r="R209" s="1">
        <v>2.6200000000000001E-2</v>
      </c>
      <c r="S209" s="1">
        <v>4.7199999999999999E-2</v>
      </c>
      <c r="T209" s="1">
        <v>1.26E-2</v>
      </c>
      <c r="U209" s="1">
        <v>2.8000000000000001E-2</v>
      </c>
      <c r="V209" s="1">
        <v>7.6999999999999999E-2</v>
      </c>
    </row>
    <row r="210" spans="1:22" x14ac:dyDescent="0.25">
      <c r="A210" t="s">
        <v>203</v>
      </c>
      <c r="B210" t="s">
        <v>228</v>
      </c>
      <c r="C210">
        <v>382</v>
      </c>
      <c r="D210" t="s">
        <v>200</v>
      </c>
      <c r="E210">
        <v>5820</v>
      </c>
      <c r="F210" s="1">
        <v>2.2800000000000001E-2</v>
      </c>
      <c r="H210" s="1">
        <v>8.7499999999999994E-2</v>
      </c>
      <c r="I210" s="1">
        <v>5.3E-3</v>
      </c>
      <c r="J210" s="1">
        <v>4.6600000000000003E-2</v>
      </c>
      <c r="L210" s="1">
        <v>7.8299999999999995E-2</v>
      </c>
      <c r="M210" s="1">
        <v>0.36609999999999998</v>
      </c>
      <c r="N210" s="1">
        <v>2.1700000000000001E-2</v>
      </c>
      <c r="P210" s="1">
        <v>0.1452</v>
      </c>
      <c r="Q210" s="1">
        <v>3.3300000000000003E-2</v>
      </c>
      <c r="R210" s="1">
        <v>5.3E-3</v>
      </c>
      <c r="S210" s="1">
        <v>4.7600000000000003E-2</v>
      </c>
      <c r="T210" s="1">
        <v>2.01E-2</v>
      </c>
      <c r="U210" s="1">
        <v>5.5800000000000002E-2</v>
      </c>
      <c r="V210" s="1">
        <v>6.4500000000000002E-2</v>
      </c>
    </row>
    <row r="211" spans="1:22" x14ac:dyDescent="0.25">
      <c r="A211" t="s">
        <v>203</v>
      </c>
      <c r="B211" t="s">
        <v>229</v>
      </c>
      <c r="C211">
        <v>298</v>
      </c>
      <c r="D211" t="s">
        <v>201</v>
      </c>
      <c r="E211">
        <v>5820</v>
      </c>
      <c r="F211" s="1">
        <v>1.6400000000000001E-2</v>
      </c>
      <c r="H211" s="1">
        <v>5.8299999999999998E-2</v>
      </c>
      <c r="I211" s="1">
        <v>2.0899999999999998E-2</v>
      </c>
      <c r="J211" s="1">
        <v>5.4999999999999997E-3</v>
      </c>
      <c r="L211" s="1">
        <v>7.3899999999999993E-2</v>
      </c>
      <c r="M211" s="1">
        <v>0.39739999999999998</v>
      </c>
      <c r="N211" s="1">
        <v>4.1999999999999997E-3</v>
      </c>
      <c r="O211" s="1">
        <v>1.1999999999999999E-3</v>
      </c>
      <c r="P211" s="1">
        <v>9.9500000000000005E-2</v>
      </c>
      <c r="Q211" s="1">
        <v>6.3100000000000003E-2</v>
      </c>
      <c r="R211" s="1">
        <v>3.0700000000000002E-2</v>
      </c>
      <c r="S211" s="1">
        <v>5.0299999999999997E-2</v>
      </c>
      <c r="T211" s="1">
        <v>2.3300000000000001E-2</v>
      </c>
      <c r="U211" s="1">
        <v>6.6000000000000003E-2</v>
      </c>
      <c r="V211" s="1">
        <v>8.9300000000000004E-2</v>
      </c>
    </row>
    <row r="212" spans="1:22" x14ac:dyDescent="0.25">
      <c r="A212" t="s">
        <v>203</v>
      </c>
      <c r="B212" t="s">
        <v>228</v>
      </c>
      <c r="C212">
        <v>422</v>
      </c>
      <c r="D212" t="s">
        <v>201</v>
      </c>
      <c r="E212">
        <v>5820</v>
      </c>
      <c r="F212" s="1">
        <v>1.7500000000000002E-2</v>
      </c>
      <c r="H212" s="1">
        <v>8.8099999999999998E-2</v>
      </c>
      <c r="I212" s="1">
        <v>1.2500000000000001E-2</v>
      </c>
      <c r="J212" s="1">
        <v>2.6499999999999999E-2</v>
      </c>
      <c r="K212" s="1">
        <v>2.9999999999999997E-4</v>
      </c>
      <c r="L212" s="1">
        <v>8.2000000000000007E-3</v>
      </c>
      <c r="M212" s="1">
        <v>0.35099999999999998</v>
      </c>
      <c r="N212" s="1">
        <v>3.3099999999999997E-2</v>
      </c>
      <c r="P212" s="1">
        <v>9.8000000000000004E-2</v>
      </c>
      <c r="Q212" s="1">
        <v>4.3400000000000001E-2</v>
      </c>
      <c r="R212" s="1">
        <v>4.3099999999999999E-2</v>
      </c>
      <c r="S212" s="1">
        <v>4.0399999999999998E-2</v>
      </c>
      <c r="T212" s="1">
        <v>7.0800000000000002E-2</v>
      </c>
      <c r="U212" s="1">
        <v>0.107</v>
      </c>
      <c r="V212" s="1">
        <v>5.9900000000000002E-2</v>
      </c>
    </row>
    <row r="213" spans="1:22" x14ac:dyDescent="0.25">
      <c r="A213" t="s">
        <v>203</v>
      </c>
      <c r="B213" t="s">
        <v>228</v>
      </c>
      <c r="C213">
        <v>85</v>
      </c>
      <c r="D213" t="s">
        <v>202</v>
      </c>
      <c r="E213">
        <v>5820</v>
      </c>
      <c r="F213" s="1">
        <v>8.3999999999999995E-3</v>
      </c>
      <c r="H213" s="1">
        <v>8.3099999999999993E-2</v>
      </c>
      <c r="J213" s="1">
        <v>2.6100000000000002E-2</v>
      </c>
      <c r="L213" s="1">
        <v>2.3900000000000001E-2</v>
      </c>
      <c r="M213" s="1">
        <v>0.3332</v>
      </c>
      <c r="N213" s="1">
        <v>4.0800000000000003E-2</v>
      </c>
      <c r="P213" s="1">
        <v>0.1489</v>
      </c>
      <c r="Q213" s="1">
        <v>2.63E-2</v>
      </c>
      <c r="S213" s="1">
        <v>0.1323</v>
      </c>
      <c r="T213" s="1">
        <v>3.6200000000000003E-2</v>
      </c>
      <c r="U213" s="1">
        <v>3.5000000000000003E-2</v>
      </c>
      <c r="V213" s="1">
        <v>0.106</v>
      </c>
    </row>
    <row r="214" spans="1:22" x14ac:dyDescent="0.25">
      <c r="A214" t="s">
        <v>203</v>
      </c>
      <c r="B214" t="s">
        <v>229</v>
      </c>
      <c r="C214">
        <v>116</v>
      </c>
      <c r="D214" t="s">
        <v>202</v>
      </c>
      <c r="E214">
        <v>5820</v>
      </c>
      <c r="H214" s="1">
        <v>2.9000000000000001E-2</v>
      </c>
      <c r="I214" s="1">
        <v>9.7999999999999997E-3</v>
      </c>
      <c r="J214" s="1">
        <v>1.7399999999999999E-2</v>
      </c>
      <c r="L214" s="1">
        <v>2.0899999999999998E-2</v>
      </c>
      <c r="M214" s="1">
        <v>0.6079</v>
      </c>
      <c r="N214" s="1">
        <v>9.5999999999999992E-3</v>
      </c>
      <c r="P214" s="1">
        <v>0.104</v>
      </c>
      <c r="Q214" s="1">
        <v>2.7000000000000001E-3</v>
      </c>
      <c r="R214" s="1">
        <v>3.95E-2</v>
      </c>
      <c r="S214" s="1">
        <v>6.3399999999999998E-2</v>
      </c>
      <c r="T214" s="1">
        <v>4.1999999999999997E-3</v>
      </c>
      <c r="U214" s="1">
        <v>3.8399999999999997E-2</v>
      </c>
      <c r="V214" s="1">
        <v>5.3199999999999997E-2</v>
      </c>
    </row>
    <row r="215" spans="1:22" x14ac:dyDescent="0.25">
      <c r="A215" t="s">
        <v>204</v>
      </c>
      <c r="B215" t="s">
        <v>204</v>
      </c>
      <c r="C215">
        <v>5820</v>
      </c>
      <c r="D215" t="s">
        <v>204</v>
      </c>
      <c r="E215">
        <v>5820</v>
      </c>
      <c r="F215" s="1">
        <v>1.6E-2</v>
      </c>
      <c r="G215" s="1">
        <v>2.0000000000000001E-4</v>
      </c>
      <c r="H215" s="1">
        <v>4.7399999999999998E-2</v>
      </c>
      <c r="I215" s="1">
        <v>1.09E-2</v>
      </c>
      <c r="J215" s="1">
        <v>2.0500000000000001E-2</v>
      </c>
      <c r="K215" s="1">
        <v>0</v>
      </c>
      <c r="L215" s="1">
        <v>3.6200000000000003E-2</v>
      </c>
      <c r="M215" s="1">
        <v>0.37390000000000001</v>
      </c>
      <c r="N215" s="1">
        <v>2.6599999999999999E-2</v>
      </c>
      <c r="O215" s="1">
        <v>6.9999999999999999E-4</v>
      </c>
      <c r="P215" s="1">
        <v>0.1686</v>
      </c>
      <c r="Q215" s="1">
        <v>3.1699999999999999E-2</v>
      </c>
      <c r="R215" s="1">
        <v>2.2599999999999999E-2</v>
      </c>
      <c r="S215" s="1">
        <v>6.2700000000000006E-2</v>
      </c>
      <c r="T215" s="1">
        <v>2.58E-2</v>
      </c>
      <c r="U215" s="1">
        <v>6.1400000000000003E-2</v>
      </c>
      <c r="V215" s="1">
        <v>9.4799999999999995E-2</v>
      </c>
    </row>
    <row r="217" spans="1:22" x14ac:dyDescent="0.25">
      <c r="A217" t="s">
        <v>256</v>
      </c>
    </row>
    <row r="218" spans="1:22" x14ac:dyDescent="0.25">
      <c r="A218" t="s">
        <v>190</v>
      </c>
      <c r="B218" t="s">
        <v>195</v>
      </c>
      <c r="C218" t="s">
        <v>189</v>
      </c>
      <c r="D218" t="s">
        <v>196</v>
      </c>
      <c r="E218" t="s">
        <v>220</v>
      </c>
      <c r="F218" t="s">
        <v>257</v>
      </c>
      <c r="G218" t="s">
        <v>215</v>
      </c>
      <c r="H218" t="s">
        <v>258</v>
      </c>
      <c r="I218" t="s">
        <v>259</v>
      </c>
    </row>
    <row r="219" spans="1:22" x14ac:dyDescent="0.25">
      <c r="A219" t="s">
        <v>198</v>
      </c>
      <c r="B219">
        <v>148</v>
      </c>
      <c r="C219" t="s">
        <v>197</v>
      </c>
      <c r="D219">
        <v>5073</v>
      </c>
      <c r="E219" s="1">
        <v>1.5299999999999999E-2</v>
      </c>
      <c r="F219" s="1">
        <v>0.80330000000000001</v>
      </c>
      <c r="H219" s="1">
        <v>0.127</v>
      </c>
      <c r="I219" s="1">
        <v>5.4399999999999997E-2</v>
      </c>
    </row>
    <row r="220" spans="1:22" x14ac:dyDescent="0.25">
      <c r="A220" t="s">
        <v>198</v>
      </c>
      <c r="B220">
        <v>693</v>
      </c>
      <c r="C220" t="s">
        <v>199</v>
      </c>
      <c r="D220">
        <v>5073</v>
      </c>
      <c r="E220" s="1">
        <v>1.6999999999999999E-3</v>
      </c>
      <c r="F220" s="1">
        <v>0.86439999999999995</v>
      </c>
      <c r="H220" s="1">
        <v>9.3399999999999997E-2</v>
      </c>
      <c r="I220" s="1">
        <v>4.0500000000000001E-2</v>
      </c>
    </row>
    <row r="221" spans="1:22" x14ac:dyDescent="0.25">
      <c r="A221" t="s">
        <v>198</v>
      </c>
      <c r="B221">
        <v>726</v>
      </c>
      <c r="C221" t="s">
        <v>200</v>
      </c>
      <c r="D221">
        <v>5073</v>
      </c>
      <c r="E221" s="1">
        <v>4.1999999999999997E-3</v>
      </c>
      <c r="F221" s="1">
        <v>0.875</v>
      </c>
      <c r="G221" s="1">
        <v>8.9999999999999998E-4</v>
      </c>
      <c r="H221" s="1">
        <v>9.2399999999999996E-2</v>
      </c>
      <c r="I221" s="1">
        <v>2.7400000000000001E-2</v>
      </c>
    </row>
    <row r="222" spans="1:22" x14ac:dyDescent="0.25">
      <c r="A222" t="s">
        <v>198</v>
      </c>
      <c r="B222">
        <v>479</v>
      </c>
      <c r="C222" t="s">
        <v>201</v>
      </c>
      <c r="D222">
        <v>5073</v>
      </c>
      <c r="E222" s="1">
        <v>2.9499999999999998E-2</v>
      </c>
      <c r="F222" s="1">
        <v>0.75719999999999998</v>
      </c>
      <c r="H222" s="1">
        <v>0.15790000000000001</v>
      </c>
      <c r="I222" s="1">
        <v>5.5399999999999998E-2</v>
      </c>
    </row>
    <row r="223" spans="1:22" x14ac:dyDescent="0.25">
      <c r="A223" t="s">
        <v>198</v>
      </c>
      <c r="B223">
        <v>161</v>
      </c>
      <c r="C223" t="s">
        <v>202</v>
      </c>
      <c r="D223">
        <v>5073</v>
      </c>
      <c r="E223" s="1">
        <v>6.3E-3</v>
      </c>
      <c r="F223" s="1">
        <v>0.76349999999999996</v>
      </c>
      <c r="G223" s="1">
        <v>5.7000000000000002E-3</v>
      </c>
      <c r="H223" s="1">
        <v>0.1646</v>
      </c>
      <c r="I223" s="1">
        <v>5.9900000000000002E-2</v>
      </c>
    </row>
    <row r="224" spans="1:22" x14ac:dyDescent="0.25">
      <c r="A224" t="s">
        <v>203</v>
      </c>
      <c r="B224">
        <v>1042</v>
      </c>
      <c r="C224" t="s">
        <v>199</v>
      </c>
      <c r="D224">
        <v>5073</v>
      </c>
      <c r="E224" s="1">
        <v>2.7000000000000001E-3</v>
      </c>
      <c r="F224" s="1">
        <v>0.86260000000000003</v>
      </c>
      <c r="G224" s="1">
        <v>9.2999999999999992E-3</v>
      </c>
      <c r="H224" s="1">
        <v>9.4899999999999998E-2</v>
      </c>
      <c r="I224" s="1">
        <v>3.0599999999999999E-2</v>
      </c>
    </row>
    <row r="225" spans="1:10" x14ac:dyDescent="0.25">
      <c r="A225" t="s">
        <v>203</v>
      </c>
      <c r="B225">
        <v>1008</v>
      </c>
      <c r="C225" t="s">
        <v>200</v>
      </c>
      <c r="D225">
        <v>5073</v>
      </c>
      <c r="E225" s="1">
        <v>1.24E-2</v>
      </c>
      <c r="F225" s="1">
        <v>0.91259999999999997</v>
      </c>
      <c r="H225" s="1">
        <v>5.9299999999999999E-2</v>
      </c>
      <c r="I225" s="1">
        <v>1.5699999999999999E-2</v>
      </c>
    </row>
    <row r="226" spans="1:10" x14ac:dyDescent="0.25">
      <c r="A226" t="s">
        <v>203</v>
      </c>
      <c r="B226">
        <v>645</v>
      </c>
      <c r="C226" t="s">
        <v>201</v>
      </c>
      <c r="D226">
        <v>5073</v>
      </c>
      <c r="E226" s="1">
        <v>1.6000000000000001E-3</v>
      </c>
      <c r="F226" s="1">
        <v>0.91479999999999995</v>
      </c>
      <c r="H226" s="1">
        <v>5.5500000000000001E-2</v>
      </c>
      <c r="I226" s="1">
        <v>2.81E-2</v>
      </c>
    </row>
    <row r="227" spans="1:10" x14ac:dyDescent="0.25">
      <c r="A227" t="s">
        <v>203</v>
      </c>
      <c r="B227">
        <v>171</v>
      </c>
      <c r="C227" t="s">
        <v>202</v>
      </c>
      <c r="D227">
        <v>5073</v>
      </c>
      <c r="E227" s="1">
        <v>1.14E-2</v>
      </c>
      <c r="F227" s="1">
        <v>0.85899999999999999</v>
      </c>
      <c r="H227" s="1">
        <v>6.9599999999999995E-2</v>
      </c>
      <c r="I227" s="1">
        <v>5.9900000000000002E-2</v>
      </c>
    </row>
    <row r="228" spans="1:10" x14ac:dyDescent="0.25">
      <c r="A228" t="s">
        <v>204</v>
      </c>
      <c r="B228">
        <v>5073</v>
      </c>
      <c r="C228" t="s">
        <v>204</v>
      </c>
      <c r="D228">
        <v>5073</v>
      </c>
      <c r="E228" s="1">
        <v>8.6E-3</v>
      </c>
      <c r="F228" s="1">
        <v>0.86570000000000003</v>
      </c>
      <c r="G228" s="1">
        <v>1.8E-3</v>
      </c>
      <c r="H228" s="1">
        <v>9.0700000000000003E-2</v>
      </c>
      <c r="I228" s="1">
        <v>3.3300000000000003E-2</v>
      </c>
    </row>
    <row r="230" spans="1:10" x14ac:dyDescent="0.25">
      <c r="A230" t="s">
        <v>260</v>
      </c>
    </row>
    <row r="231" spans="1:10" x14ac:dyDescent="0.25">
      <c r="A231" t="s">
        <v>190</v>
      </c>
      <c r="B231" t="s">
        <v>206</v>
      </c>
      <c r="C231" t="s">
        <v>195</v>
      </c>
      <c r="D231" t="s">
        <v>189</v>
      </c>
      <c r="E231" t="s">
        <v>196</v>
      </c>
      <c r="F231" t="s">
        <v>220</v>
      </c>
      <c r="G231" t="s">
        <v>257</v>
      </c>
      <c r="H231" t="s">
        <v>215</v>
      </c>
      <c r="I231" t="s">
        <v>258</v>
      </c>
      <c r="J231" t="s">
        <v>259</v>
      </c>
    </row>
    <row r="232" spans="1:10" s="29" customFormat="1" x14ac:dyDescent="0.25">
      <c r="A232" s="29" t="s">
        <v>198</v>
      </c>
      <c r="B232" s="29" t="s">
        <v>249</v>
      </c>
      <c r="C232" s="29">
        <v>23</v>
      </c>
      <c r="D232" s="29" t="s">
        <v>197</v>
      </c>
      <c r="E232" s="29">
        <v>5073</v>
      </c>
      <c r="F232" s="30">
        <v>9.6100000000000005E-2</v>
      </c>
      <c r="G232" s="30">
        <v>0.71099999999999997</v>
      </c>
      <c r="I232" s="30">
        <v>0.15429999999999999</v>
      </c>
      <c r="J232" s="30">
        <v>3.8600000000000002E-2</v>
      </c>
    </row>
    <row r="233" spans="1:10" x14ac:dyDescent="0.25">
      <c r="A233" t="s">
        <v>198</v>
      </c>
      <c r="B233" t="s">
        <v>251</v>
      </c>
      <c r="C233">
        <v>44</v>
      </c>
      <c r="D233" t="s">
        <v>197</v>
      </c>
      <c r="E233">
        <v>5073</v>
      </c>
      <c r="G233" s="1">
        <v>0.80610000000000004</v>
      </c>
      <c r="I233" s="1">
        <v>0.1421</v>
      </c>
      <c r="J233" s="1">
        <v>5.1700000000000003E-2</v>
      </c>
    </row>
    <row r="234" spans="1:10" x14ac:dyDescent="0.25">
      <c r="A234" t="s">
        <v>198</v>
      </c>
      <c r="B234" t="s">
        <v>248</v>
      </c>
      <c r="C234">
        <v>41</v>
      </c>
      <c r="D234" t="s">
        <v>197</v>
      </c>
      <c r="E234">
        <v>5073</v>
      </c>
      <c r="G234" s="1">
        <v>0.86370000000000002</v>
      </c>
      <c r="I234" s="1">
        <v>6.5799999999999997E-2</v>
      </c>
      <c r="J234" s="1">
        <v>7.0499999999999993E-2</v>
      </c>
    </row>
    <row r="235" spans="1:10" x14ac:dyDescent="0.25">
      <c r="A235" t="s">
        <v>198</v>
      </c>
      <c r="B235" t="s">
        <v>250</v>
      </c>
      <c r="C235">
        <v>40</v>
      </c>
      <c r="D235" t="s">
        <v>197</v>
      </c>
      <c r="E235">
        <v>5073</v>
      </c>
      <c r="G235" s="1">
        <v>0.79390000000000005</v>
      </c>
      <c r="I235" s="1">
        <v>0.15559999999999999</v>
      </c>
      <c r="J235" s="1">
        <v>5.0500000000000003E-2</v>
      </c>
    </row>
    <row r="236" spans="1:10" x14ac:dyDescent="0.25">
      <c r="A236" t="s">
        <v>198</v>
      </c>
      <c r="B236" t="s">
        <v>250</v>
      </c>
      <c r="C236">
        <v>182</v>
      </c>
      <c r="D236" t="s">
        <v>199</v>
      </c>
      <c r="E236">
        <v>5073</v>
      </c>
      <c r="G236" s="1">
        <v>0.81579999999999997</v>
      </c>
      <c r="I236" s="1">
        <v>0.16719999999999999</v>
      </c>
      <c r="J236" s="1">
        <v>1.7000000000000001E-2</v>
      </c>
    </row>
    <row r="237" spans="1:10" x14ac:dyDescent="0.25">
      <c r="A237" t="s">
        <v>198</v>
      </c>
      <c r="B237" t="s">
        <v>248</v>
      </c>
      <c r="C237">
        <v>133</v>
      </c>
      <c r="D237" t="s">
        <v>199</v>
      </c>
      <c r="E237">
        <v>5073</v>
      </c>
      <c r="F237" s="1">
        <v>6.7999999999999996E-3</v>
      </c>
      <c r="G237" s="1">
        <v>0.99</v>
      </c>
      <c r="J237" s="1">
        <v>3.2000000000000002E-3</v>
      </c>
    </row>
    <row r="238" spans="1:10" x14ac:dyDescent="0.25">
      <c r="A238" t="s">
        <v>198</v>
      </c>
      <c r="B238" t="s">
        <v>251</v>
      </c>
      <c r="C238">
        <v>264</v>
      </c>
      <c r="D238" t="s">
        <v>199</v>
      </c>
      <c r="E238">
        <v>5073</v>
      </c>
      <c r="F238" s="1">
        <v>1.2999999999999999E-3</v>
      </c>
      <c r="G238" s="1">
        <v>0.88229999999999997</v>
      </c>
      <c r="I238" s="1">
        <v>0.1013</v>
      </c>
      <c r="J238" s="1">
        <v>1.5100000000000001E-2</v>
      </c>
    </row>
    <row r="239" spans="1:10" x14ac:dyDescent="0.25">
      <c r="A239" t="s">
        <v>198</v>
      </c>
      <c r="B239" t="s">
        <v>249</v>
      </c>
      <c r="C239">
        <v>114</v>
      </c>
      <c r="D239" t="s">
        <v>199</v>
      </c>
      <c r="E239">
        <v>5073</v>
      </c>
      <c r="F239" s="1">
        <v>8.0000000000000004E-4</v>
      </c>
      <c r="G239" s="1">
        <v>0.81310000000000004</v>
      </c>
      <c r="I239" s="1">
        <v>5.57E-2</v>
      </c>
      <c r="J239" s="1">
        <v>0.13039999999999999</v>
      </c>
    </row>
    <row r="240" spans="1:10" x14ac:dyDescent="0.25">
      <c r="A240" t="s">
        <v>198</v>
      </c>
      <c r="B240" t="s">
        <v>251</v>
      </c>
      <c r="C240">
        <v>283</v>
      </c>
      <c r="D240" t="s">
        <v>200</v>
      </c>
      <c r="E240">
        <v>5073</v>
      </c>
      <c r="F240" s="1">
        <v>1E-4</v>
      </c>
      <c r="G240" s="1">
        <v>0.90390000000000004</v>
      </c>
      <c r="I240" s="1">
        <v>6.4899999999999999E-2</v>
      </c>
      <c r="J240" s="1">
        <v>3.1099999999999999E-2</v>
      </c>
    </row>
    <row r="241" spans="1:10" x14ac:dyDescent="0.25">
      <c r="A241" t="s">
        <v>198</v>
      </c>
      <c r="B241" t="s">
        <v>249</v>
      </c>
      <c r="C241">
        <v>111</v>
      </c>
      <c r="D241" t="s">
        <v>200</v>
      </c>
      <c r="E241">
        <v>5073</v>
      </c>
      <c r="F241" s="1">
        <v>2.3999999999999998E-3</v>
      </c>
      <c r="G241" s="1">
        <v>0.80900000000000005</v>
      </c>
      <c r="H241" s="1">
        <v>5.1999999999999998E-3</v>
      </c>
      <c r="I241" s="1">
        <v>0.14169999999999999</v>
      </c>
      <c r="J241" s="1">
        <v>4.1700000000000001E-2</v>
      </c>
    </row>
    <row r="242" spans="1:10" x14ac:dyDescent="0.25">
      <c r="A242" t="s">
        <v>198</v>
      </c>
      <c r="B242" t="s">
        <v>248</v>
      </c>
      <c r="C242">
        <v>159</v>
      </c>
      <c r="D242" t="s">
        <v>200</v>
      </c>
      <c r="E242">
        <v>5073</v>
      </c>
      <c r="F242" s="1">
        <v>1.4E-2</v>
      </c>
      <c r="G242" s="1">
        <v>0.90690000000000004</v>
      </c>
      <c r="I242" s="1">
        <v>6.5199999999999994E-2</v>
      </c>
      <c r="J242" s="1">
        <v>1.38E-2</v>
      </c>
    </row>
    <row r="243" spans="1:10" x14ac:dyDescent="0.25">
      <c r="A243" t="s">
        <v>198</v>
      </c>
      <c r="B243" t="s">
        <v>250</v>
      </c>
      <c r="C243">
        <v>173</v>
      </c>
      <c r="D243" t="s">
        <v>200</v>
      </c>
      <c r="E243">
        <v>5073</v>
      </c>
      <c r="F243" s="1">
        <v>4.4999999999999997E-3</v>
      </c>
      <c r="G243" s="1">
        <v>0.84060000000000001</v>
      </c>
      <c r="I243" s="1">
        <v>0.1338</v>
      </c>
      <c r="J243" s="1">
        <v>2.1100000000000001E-2</v>
      </c>
    </row>
    <row r="244" spans="1:10" x14ac:dyDescent="0.25">
      <c r="A244" t="s">
        <v>198</v>
      </c>
      <c r="B244" t="s">
        <v>251</v>
      </c>
      <c r="C244">
        <v>172</v>
      </c>
      <c r="D244" t="s">
        <v>201</v>
      </c>
      <c r="E244">
        <v>5073</v>
      </c>
      <c r="F244" s="1">
        <v>4.8999999999999998E-3</v>
      </c>
      <c r="G244" s="1">
        <v>0.71709999999999996</v>
      </c>
      <c r="I244" s="1">
        <v>0.1855</v>
      </c>
      <c r="J244" s="1">
        <v>9.2499999999999999E-2</v>
      </c>
    </row>
    <row r="245" spans="1:10" x14ac:dyDescent="0.25">
      <c r="A245" t="s">
        <v>198</v>
      </c>
      <c r="B245" t="s">
        <v>249</v>
      </c>
      <c r="C245">
        <v>74</v>
      </c>
      <c r="D245" t="s">
        <v>201</v>
      </c>
      <c r="E245">
        <v>5073</v>
      </c>
      <c r="F245" s="1">
        <v>2.2200000000000001E-2</v>
      </c>
      <c r="G245" s="1">
        <v>0.78539999999999999</v>
      </c>
      <c r="I245" s="1">
        <v>0.19139999999999999</v>
      </c>
      <c r="J245" s="1">
        <v>1E-3</v>
      </c>
    </row>
    <row r="246" spans="1:10" x14ac:dyDescent="0.25">
      <c r="A246" t="s">
        <v>198</v>
      </c>
      <c r="B246" t="s">
        <v>248</v>
      </c>
      <c r="C246">
        <v>106</v>
      </c>
      <c r="D246" t="s">
        <v>201</v>
      </c>
      <c r="E246">
        <v>5073</v>
      </c>
      <c r="F246" s="1">
        <v>8.72E-2</v>
      </c>
      <c r="G246" s="1">
        <v>0.84709999999999996</v>
      </c>
      <c r="I246" s="1">
        <v>2.52E-2</v>
      </c>
      <c r="J246" s="1">
        <v>4.0399999999999998E-2</v>
      </c>
    </row>
    <row r="247" spans="1:10" x14ac:dyDescent="0.25">
      <c r="A247" t="s">
        <v>198</v>
      </c>
      <c r="B247" t="s">
        <v>250</v>
      </c>
      <c r="C247">
        <v>127</v>
      </c>
      <c r="D247" t="s">
        <v>201</v>
      </c>
      <c r="E247">
        <v>5073</v>
      </c>
      <c r="F247" s="1">
        <v>2.24E-2</v>
      </c>
      <c r="G247" s="1">
        <v>0.72070000000000001</v>
      </c>
      <c r="I247" s="1">
        <v>0.2094</v>
      </c>
      <c r="J247" s="1">
        <v>4.7399999999999998E-2</v>
      </c>
    </row>
    <row r="248" spans="1:10" x14ac:dyDescent="0.25">
      <c r="A248" t="s">
        <v>198</v>
      </c>
      <c r="B248" t="s">
        <v>250</v>
      </c>
      <c r="C248">
        <v>45</v>
      </c>
      <c r="D248" t="s">
        <v>202</v>
      </c>
      <c r="E248">
        <v>5073</v>
      </c>
      <c r="F248" s="1">
        <v>2.5899999999999999E-2</v>
      </c>
      <c r="G248" s="1">
        <v>0.77569999999999995</v>
      </c>
      <c r="I248" s="1">
        <v>0.13900000000000001</v>
      </c>
      <c r="J248" s="1">
        <v>5.9400000000000001E-2</v>
      </c>
    </row>
    <row r="249" spans="1:10" x14ac:dyDescent="0.25">
      <c r="A249" t="s">
        <v>198</v>
      </c>
      <c r="B249" t="s">
        <v>249</v>
      </c>
      <c r="C249">
        <v>30</v>
      </c>
      <c r="D249" t="s">
        <v>202</v>
      </c>
      <c r="E249">
        <v>5073</v>
      </c>
      <c r="G249" s="1">
        <v>0.77759999999999996</v>
      </c>
      <c r="I249" s="1">
        <v>0.1094</v>
      </c>
      <c r="J249" s="1">
        <v>0.113</v>
      </c>
    </row>
    <row r="250" spans="1:10" x14ac:dyDescent="0.25">
      <c r="A250" t="s">
        <v>198</v>
      </c>
      <c r="B250" t="s">
        <v>251</v>
      </c>
      <c r="C250">
        <v>46</v>
      </c>
      <c r="D250" t="s">
        <v>202</v>
      </c>
      <c r="E250">
        <v>5073</v>
      </c>
      <c r="G250" s="1">
        <v>0.70940000000000003</v>
      </c>
      <c r="H250" s="1">
        <v>1.5699999999999999E-2</v>
      </c>
      <c r="I250" s="1">
        <v>0.21879999999999999</v>
      </c>
      <c r="J250" s="1">
        <v>5.6099999999999997E-2</v>
      </c>
    </row>
    <row r="251" spans="1:10" x14ac:dyDescent="0.25">
      <c r="A251" t="s">
        <v>198</v>
      </c>
      <c r="B251" t="s">
        <v>248</v>
      </c>
      <c r="C251">
        <v>40</v>
      </c>
      <c r="D251" t="s">
        <v>202</v>
      </c>
      <c r="E251">
        <v>5073</v>
      </c>
      <c r="G251" s="1">
        <v>0.84309999999999996</v>
      </c>
      <c r="I251" s="1">
        <v>0.15690000000000001</v>
      </c>
    </row>
    <row r="252" spans="1:10" x14ac:dyDescent="0.25">
      <c r="A252" t="s">
        <v>203</v>
      </c>
      <c r="B252" t="s">
        <v>250</v>
      </c>
      <c r="C252">
        <v>308</v>
      </c>
      <c r="D252" t="s">
        <v>199</v>
      </c>
      <c r="E252">
        <v>5073</v>
      </c>
      <c r="F252" s="1">
        <v>2.3999999999999998E-3</v>
      </c>
      <c r="G252" s="1">
        <v>0.84399999999999997</v>
      </c>
      <c r="H252" s="1">
        <v>2.07E-2</v>
      </c>
      <c r="I252" s="1">
        <v>0.1191</v>
      </c>
      <c r="J252" s="1">
        <v>1.37E-2</v>
      </c>
    </row>
    <row r="253" spans="1:10" x14ac:dyDescent="0.25">
      <c r="A253" t="s">
        <v>203</v>
      </c>
      <c r="B253" t="s">
        <v>251</v>
      </c>
      <c r="C253">
        <v>434</v>
      </c>
      <c r="D253" t="s">
        <v>199</v>
      </c>
      <c r="E253">
        <v>5073</v>
      </c>
      <c r="F253" s="1">
        <v>2.5999999999999999E-3</v>
      </c>
      <c r="G253" s="1">
        <v>0.84530000000000005</v>
      </c>
      <c r="H253" s="1">
        <v>9.5999999999999992E-3</v>
      </c>
      <c r="I253" s="1">
        <v>8.7900000000000006E-2</v>
      </c>
      <c r="J253" s="1">
        <v>5.4600000000000003E-2</v>
      </c>
    </row>
    <row r="254" spans="1:10" x14ac:dyDescent="0.25">
      <c r="A254" t="s">
        <v>203</v>
      </c>
      <c r="B254" t="s">
        <v>249</v>
      </c>
      <c r="C254">
        <v>125</v>
      </c>
      <c r="D254" t="s">
        <v>199</v>
      </c>
      <c r="E254">
        <v>5073</v>
      </c>
      <c r="G254" s="1">
        <v>0.86339999999999995</v>
      </c>
      <c r="I254" s="1">
        <v>0.12570000000000001</v>
      </c>
      <c r="J254" s="1">
        <v>1.09E-2</v>
      </c>
    </row>
    <row r="255" spans="1:10" x14ac:dyDescent="0.25">
      <c r="A255" t="s">
        <v>203</v>
      </c>
      <c r="B255" t="s">
        <v>248</v>
      </c>
      <c r="C255">
        <v>175</v>
      </c>
      <c r="D255" t="s">
        <v>199</v>
      </c>
      <c r="E255">
        <v>5073</v>
      </c>
      <c r="F255" s="1">
        <v>5.7000000000000002E-3</v>
      </c>
      <c r="G255" s="1">
        <v>0.94199999999999995</v>
      </c>
      <c r="I255" s="1">
        <v>5.1700000000000003E-2</v>
      </c>
      <c r="J255" s="1">
        <v>5.9999999999999995E-4</v>
      </c>
    </row>
    <row r="256" spans="1:10" x14ac:dyDescent="0.25">
      <c r="A256" t="s">
        <v>203</v>
      </c>
      <c r="B256" t="s">
        <v>248</v>
      </c>
      <c r="C256">
        <v>164</v>
      </c>
      <c r="D256" t="s">
        <v>200</v>
      </c>
      <c r="E256">
        <v>5073</v>
      </c>
      <c r="G256" s="1">
        <v>0.98740000000000006</v>
      </c>
      <c r="I256" s="1">
        <v>1.26E-2</v>
      </c>
    </row>
    <row r="257" spans="1:10" x14ac:dyDescent="0.25">
      <c r="A257" t="s">
        <v>203</v>
      </c>
      <c r="B257" t="s">
        <v>250</v>
      </c>
      <c r="C257">
        <v>221</v>
      </c>
      <c r="D257" t="s">
        <v>200</v>
      </c>
      <c r="E257">
        <v>5073</v>
      </c>
      <c r="F257" s="1">
        <v>1.1000000000000001E-3</v>
      </c>
      <c r="G257" s="1">
        <v>0.93059999999999998</v>
      </c>
      <c r="I257" s="1">
        <v>6.3299999999999995E-2</v>
      </c>
      <c r="J257" s="1">
        <v>4.8999999999999998E-3</v>
      </c>
    </row>
    <row r="258" spans="1:10" x14ac:dyDescent="0.25">
      <c r="A258" t="s">
        <v>203</v>
      </c>
      <c r="B258" t="s">
        <v>251</v>
      </c>
      <c r="C258">
        <v>473</v>
      </c>
      <c r="D258" t="s">
        <v>200</v>
      </c>
      <c r="E258">
        <v>5073</v>
      </c>
      <c r="F258" s="1">
        <v>1.3599999999999999E-2</v>
      </c>
      <c r="G258" s="1">
        <v>0.92430000000000001</v>
      </c>
      <c r="I258" s="1">
        <v>4.6600000000000003E-2</v>
      </c>
      <c r="J258" s="1">
        <v>1.54E-2</v>
      </c>
    </row>
    <row r="259" spans="1:10" x14ac:dyDescent="0.25">
      <c r="A259" t="s">
        <v>203</v>
      </c>
      <c r="B259" t="s">
        <v>249</v>
      </c>
      <c r="C259">
        <v>150</v>
      </c>
      <c r="D259" t="s">
        <v>200</v>
      </c>
      <c r="E259">
        <v>5073</v>
      </c>
      <c r="F259" s="1">
        <v>3.1800000000000002E-2</v>
      </c>
      <c r="G259" s="1">
        <v>0.8024</v>
      </c>
      <c r="I259" s="1">
        <v>0.12470000000000001</v>
      </c>
      <c r="J259" s="1">
        <v>4.1099999999999998E-2</v>
      </c>
    </row>
    <row r="260" spans="1:10" x14ac:dyDescent="0.25">
      <c r="A260" t="s">
        <v>203</v>
      </c>
      <c r="B260" t="s">
        <v>249</v>
      </c>
      <c r="C260">
        <v>82</v>
      </c>
      <c r="D260" t="s">
        <v>201</v>
      </c>
      <c r="E260">
        <v>5073</v>
      </c>
      <c r="F260" s="1">
        <v>1E-3</v>
      </c>
      <c r="G260" s="1">
        <v>0.87939999999999996</v>
      </c>
      <c r="I260" s="1">
        <v>9.4399999999999998E-2</v>
      </c>
      <c r="J260" s="1">
        <v>2.52E-2</v>
      </c>
    </row>
    <row r="261" spans="1:10" x14ac:dyDescent="0.25">
      <c r="A261" t="s">
        <v>203</v>
      </c>
      <c r="B261" t="s">
        <v>248</v>
      </c>
      <c r="C261">
        <v>121</v>
      </c>
      <c r="D261" t="s">
        <v>201</v>
      </c>
      <c r="E261">
        <v>5073</v>
      </c>
      <c r="F261" s="1">
        <v>6.0000000000000001E-3</v>
      </c>
      <c r="G261" s="1">
        <v>0.95660000000000001</v>
      </c>
      <c r="I261" s="1">
        <v>6.0000000000000001E-3</v>
      </c>
      <c r="J261" s="1">
        <v>3.15E-2</v>
      </c>
    </row>
    <row r="262" spans="1:10" x14ac:dyDescent="0.25">
      <c r="A262" t="s">
        <v>203</v>
      </c>
      <c r="B262" t="s">
        <v>251</v>
      </c>
      <c r="C262">
        <v>237</v>
      </c>
      <c r="D262" t="s">
        <v>201</v>
      </c>
      <c r="E262">
        <v>5073</v>
      </c>
      <c r="F262" s="1">
        <v>1.6999999999999999E-3</v>
      </c>
      <c r="G262" s="1">
        <v>0.91920000000000002</v>
      </c>
      <c r="I262" s="1">
        <v>5.8400000000000001E-2</v>
      </c>
      <c r="J262" s="1">
        <v>2.0799999999999999E-2</v>
      </c>
    </row>
    <row r="263" spans="1:10" x14ac:dyDescent="0.25">
      <c r="A263" t="s">
        <v>203</v>
      </c>
      <c r="B263" t="s">
        <v>250</v>
      </c>
      <c r="C263">
        <v>205</v>
      </c>
      <c r="D263" t="s">
        <v>201</v>
      </c>
      <c r="E263">
        <v>5073</v>
      </c>
      <c r="G263" s="1">
        <v>0.91669999999999996</v>
      </c>
      <c r="I263" s="1">
        <v>4.3400000000000001E-2</v>
      </c>
      <c r="J263" s="1">
        <v>3.9899999999999998E-2</v>
      </c>
    </row>
    <row r="264" spans="1:10" s="29" customFormat="1" x14ac:dyDescent="0.25">
      <c r="A264" s="29" t="s">
        <v>203</v>
      </c>
      <c r="B264" s="29" t="s">
        <v>248</v>
      </c>
      <c r="C264" s="29">
        <v>27</v>
      </c>
      <c r="D264" s="29" t="s">
        <v>202</v>
      </c>
      <c r="E264" s="29">
        <v>5073</v>
      </c>
      <c r="G264" s="30">
        <v>1</v>
      </c>
    </row>
    <row r="265" spans="1:10" x14ac:dyDescent="0.25">
      <c r="A265" t="s">
        <v>203</v>
      </c>
      <c r="B265" t="s">
        <v>251</v>
      </c>
      <c r="C265">
        <v>72</v>
      </c>
      <c r="D265" t="s">
        <v>202</v>
      </c>
      <c r="E265">
        <v>5073</v>
      </c>
      <c r="F265" s="1">
        <v>4.4999999999999997E-3</v>
      </c>
      <c r="G265" s="1">
        <v>0.87990000000000002</v>
      </c>
      <c r="I265" s="1">
        <v>8.8800000000000004E-2</v>
      </c>
      <c r="J265" s="1">
        <v>2.6800000000000001E-2</v>
      </c>
    </row>
    <row r="266" spans="1:10" s="29" customFormat="1" x14ac:dyDescent="0.25">
      <c r="A266" s="29" t="s">
        <v>203</v>
      </c>
      <c r="B266" s="29" t="s">
        <v>249</v>
      </c>
      <c r="C266" s="29">
        <v>26</v>
      </c>
      <c r="D266" s="29" t="s">
        <v>202</v>
      </c>
      <c r="E266" s="29">
        <v>5073</v>
      </c>
      <c r="F266" s="30">
        <v>2.1299999999999999E-2</v>
      </c>
      <c r="G266" s="30">
        <v>0.63729999999999998</v>
      </c>
      <c r="I266" s="30">
        <v>0.1244</v>
      </c>
      <c r="J266" s="30">
        <v>0.217</v>
      </c>
    </row>
    <row r="267" spans="1:10" x14ac:dyDescent="0.25">
      <c r="A267" t="s">
        <v>203</v>
      </c>
      <c r="B267" t="s">
        <v>250</v>
      </c>
      <c r="C267">
        <v>46</v>
      </c>
      <c r="D267" t="s">
        <v>202</v>
      </c>
      <c r="E267">
        <v>5073</v>
      </c>
      <c r="F267" s="1">
        <v>2.3400000000000001E-2</v>
      </c>
      <c r="G267" s="1">
        <v>0.87180000000000002</v>
      </c>
      <c r="I267" s="1">
        <v>4.4900000000000002E-2</v>
      </c>
      <c r="J267" s="1">
        <v>5.9799999999999999E-2</v>
      </c>
    </row>
    <row r="268" spans="1:10" x14ac:dyDescent="0.25">
      <c r="A268" t="s">
        <v>204</v>
      </c>
      <c r="B268" t="s">
        <v>204</v>
      </c>
      <c r="C268">
        <v>5073</v>
      </c>
      <c r="D268" t="s">
        <v>204</v>
      </c>
      <c r="E268">
        <v>5073</v>
      </c>
      <c r="F268" s="1">
        <v>8.6E-3</v>
      </c>
      <c r="G268" s="1">
        <v>0.86570000000000003</v>
      </c>
      <c r="H268" s="1">
        <v>1.8E-3</v>
      </c>
      <c r="I268" s="1">
        <v>9.0700000000000003E-2</v>
      </c>
      <c r="J268" s="1">
        <v>3.3300000000000003E-2</v>
      </c>
    </row>
    <row r="270" spans="1:10" x14ac:dyDescent="0.25">
      <c r="A270" t="s">
        <v>261</v>
      </c>
    </row>
    <row r="271" spans="1:10" x14ac:dyDescent="0.25">
      <c r="A271" t="s">
        <v>190</v>
      </c>
      <c r="B271" t="s">
        <v>206</v>
      </c>
      <c r="C271" t="s">
        <v>195</v>
      </c>
      <c r="D271" t="s">
        <v>189</v>
      </c>
      <c r="E271" t="s">
        <v>196</v>
      </c>
      <c r="F271" t="s">
        <v>220</v>
      </c>
      <c r="G271" t="s">
        <v>257</v>
      </c>
      <c r="H271" t="s">
        <v>215</v>
      </c>
      <c r="I271" t="s">
        <v>258</v>
      </c>
      <c r="J271" t="s">
        <v>259</v>
      </c>
    </row>
    <row r="272" spans="1:10" x14ac:dyDescent="0.25">
      <c r="A272" t="s">
        <v>198</v>
      </c>
      <c r="B272" t="s">
        <v>253</v>
      </c>
      <c r="C272">
        <v>58</v>
      </c>
      <c r="D272" t="s">
        <v>197</v>
      </c>
      <c r="E272">
        <v>5073</v>
      </c>
      <c r="G272" s="1">
        <v>0.85609999999999997</v>
      </c>
      <c r="I272" s="1">
        <v>0.10829999999999999</v>
      </c>
      <c r="J272" s="1">
        <v>3.5499999999999997E-2</v>
      </c>
    </row>
    <row r="273" spans="1:10" x14ac:dyDescent="0.25">
      <c r="A273" t="s">
        <v>198</v>
      </c>
      <c r="B273" t="s">
        <v>254</v>
      </c>
      <c r="C273">
        <v>90</v>
      </c>
      <c r="D273" t="s">
        <v>197</v>
      </c>
      <c r="E273">
        <v>5073</v>
      </c>
      <c r="F273" s="1">
        <v>2.5000000000000001E-2</v>
      </c>
      <c r="G273" s="1">
        <v>0.76990000000000003</v>
      </c>
      <c r="I273" s="1">
        <v>0.13869999999999999</v>
      </c>
      <c r="J273" s="1">
        <v>6.6400000000000001E-2</v>
      </c>
    </row>
    <row r="274" spans="1:10" x14ac:dyDescent="0.25">
      <c r="A274" t="s">
        <v>198</v>
      </c>
      <c r="B274" t="s">
        <v>254</v>
      </c>
      <c r="C274">
        <v>440</v>
      </c>
      <c r="D274" t="s">
        <v>199</v>
      </c>
      <c r="E274">
        <v>5073</v>
      </c>
      <c r="F274" s="1">
        <v>1.6000000000000001E-3</v>
      </c>
      <c r="G274" s="1">
        <v>0.84060000000000001</v>
      </c>
      <c r="I274" s="1">
        <v>9.5699999999999993E-2</v>
      </c>
      <c r="J274" s="1">
        <v>6.2100000000000002E-2</v>
      </c>
    </row>
    <row r="275" spans="1:10" x14ac:dyDescent="0.25">
      <c r="A275" t="s">
        <v>198</v>
      </c>
      <c r="B275" t="s">
        <v>253</v>
      </c>
      <c r="C275">
        <v>253</v>
      </c>
      <c r="D275" t="s">
        <v>199</v>
      </c>
      <c r="E275">
        <v>5073</v>
      </c>
      <c r="F275" s="1">
        <v>1.6999999999999999E-3</v>
      </c>
      <c r="G275" s="1">
        <v>0.89910000000000001</v>
      </c>
      <c r="I275" s="1">
        <v>0.09</v>
      </c>
      <c r="J275" s="1">
        <v>9.1000000000000004E-3</v>
      </c>
    </row>
    <row r="276" spans="1:10" x14ac:dyDescent="0.25">
      <c r="A276" t="s">
        <v>198</v>
      </c>
      <c r="B276" t="s">
        <v>254</v>
      </c>
      <c r="C276">
        <v>452</v>
      </c>
      <c r="D276" t="s">
        <v>200</v>
      </c>
      <c r="E276">
        <v>5073</v>
      </c>
      <c r="F276" s="1">
        <v>5.4999999999999997E-3</v>
      </c>
      <c r="G276" s="1">
        <v>0.88980000000000004</v>
      </c>
      <c r="I276" s="1">
        <v>8.2400000000000001E-2</v>
      </c>
      <c r="J276" s="1">
        <v>2.24E-2</v>
      </c>
    </row>
    <row r="277" spans="1:10" x14ac:dyDescent="0.25">
      <c r="A277" t="s">
        <v>198</v>
      </c>
      <c r="B277" t="s">
        <v>253</v>
      </c>
      <c r="C277">
        <v>274</v>
      </c>
      <c r="D277" t="s">
        <v>200</v>
      </c>
      <c r="E277">
        <v>5073</v>
      </c>
      <c r="F277" s="1">
        <v>2.2000000000000001E-3</v>
      </c>
      <c r="G277" s="1">
        <v>0.85089999999999999</v>
      </c>
      <c r="H277" s="1">
        <v>2.3999999999999998E-3</v>
      </c>
      <c r="I277" s="1">
        <v>0.10879999999999999</v>
      </c>
      <c r="J277" s="1">
        <v>3.56E-2</v>
      </c>
    </row>
    <row r="278" spans="1:10" s="29" customFormat="1" x14ac:dyDescent="0.25">
      <c r="A278" s="29" t="s">
        <v>198</v>
      </c>
      <c r="B278" s="29" t="s">
        <v>215</v>
      </c>
      <c r="C278" s="29">
        <v>1</v>
      </c>
      <c r="D278" s="29" t="s">
        <v>201</v>
      </c>
      <c r="E278" s="29">
        <v>5073</v>
      </c>
      <c r="I278" s="30">
        <v>1</v>
      </c>
    </row>
    <row r="279" spans="1:10" x14ac:dyDescent="0.25">
      <c r="A279" t="s">
        <v>198</v>
      </c>
      <c r="B279" t="s">
        <v>254</v>
      </c>
      <c r="C279">
        <v>313</v>
      </c>
      <c r="D279" t="s">
        <v>201</v>
      </c>
      <c r="E279">
        <v>5073</v>
      </c>
      <c r="F279" s="1">
        <v>3.32E-2</v>
      </c>
      <c r="G279" s="1">
        <v>0.76100000000000001</v>
      </c>
      <c r="I279" s="1">
        <v>0.13730000000000001</v>
      </c>
      <c r="J279" s="1">
        <v>6.8400000000000002E-2</v>
      </c>
    </row>
    <row r="280" spans="1:10" x14ac:dyDescent="0.25">
      <c r="A280" t="s">
        <v>198</v>
      </c>
      <c r="B280" t="s">
        <v>253</v>
      </c>
      <c r="C280">
        <v>165</v>
      </c>
      <c r="D280" t="s">
        <v>201</v>
      </c>
      <c r="E280">
        <v>5073</v>
      </c>
      <c r="F280" s="1">
        <v>2.1999999999999999E-2</v>
      </c>
      <c r="G280" s="1">
        <v>0.75</v>
      </c>
      <c r="I280" s="1">
        <v>0.19889999999999999</v>
      </c>
      <c r="J280" s="1">
        <v>2.9100000000000001E-2</v>
      </c>
    </row>
    <row r="281" spans="1:10" x14ac:dyDescent="0.25">
      <c r="A281" t="s">
        <v>198</v>
      </c>
      <c r="B281" t="s">
        <v>254</v>
      </c>
      <c r="C281">
        <v>100</v>
      </c>
      <c r="D281" t="s">
        <v>202</v>
      </c>
      <c r="E281">
        <v>5073</v>
      </c>
      <c r="F281" s="1">
        <v>7.7999999999999996E-3</v>
      </c>
      <c r="G281" s="1">
        <v>0.71020000000000005</v>
      </c>
      <c r="H281" s="1">
        <v>9.2999999999999992E-3</v>
      </c>
      <c r="I281" s="1">
        <v>0.19139999999999999</v>
      </c>
      <c r="J281" s="1">
        <v>8.1299999999999997E-2</v>
      </c>
    </row>
    <row r="282" spans="1:10" x14ac:dyDescent="0.25">
      <c r="A282" t="s">
        <v>198</v>
      </c>
      <c r="B282" t="s">
        <v>253</v>
      </c>
      <c r="C282">
        <v>61</v>
      </c>
      <c r="D282" t="s">
        <v>202</v>
      </c>
      <c r="E282">
        <v>5073</v>
      </c>
      <c r="F282" s="1">
        <v>4.0000000000000001E-3</v>
      </c>
      <c r="G282" s="1">
        <v>0.84919999999999995</v>
      </c>
      <c r="I282" s="1">
        <v>0.12139999999999999</v>
      </c>
      <c r="J282" s="1">
        <v>2.5399999999999999E-2</v>
      </c>
    </row>
    <row r="283" spans="1:10" x14ac:dyDescent="0.25">
      <c r="A283" t="s">
        <v>203</v>
      </c>
      <c r="B283" t="s">
        <v>253</v>
      </c>
      <c r="C283">
        <v>432</v>
      </c>
      <c r="D283" t="s">
        <v>199</v>
      </c>
      <c r="E283">
        <v>5073</v>
      </c>
      <c r="F283" s="1">
        <v>2E-3</v>
      </c>
      <c r="G283" s="1">
        <v>0.90110000000000001</v>
      </c>
      <c r="H283" s="1">
        <v>1.14E-2</v>
      </c>
      <c r="I283" s="1">
        <v>6.3299999999999995E-2</v>
      </c>
      <c r="J283" s="1">
        <v>2.23E-2</v>
      </c>
    </row>
    <row r="284" spans="1:10" x14ac:dyDescent="0.25">
      <c r="A284" t="s">
        <v>203</v>
      </c>
      <c r="B284" t="s">
        <v>254</v>
      </c>
      <c r="C284">
        <v>610</v>
      </c>
      <c r="D284" t="s">
        <v>199</v>
      </c>
      <c r="E284">
        <v>5073</v>
      </c>
      <c r="F284" s="1">
        <v>3.2000000000000002E-3</v>
      </c>
      <c r="G284" s="1">
        <v>0.8347</v>
      </c>
      <c r="H284" s="1">
        <v>7.7999999999999996E-3</v>
      </c>
      <c r="I284" s="1">
        <v>0.1178</v>
      </c>
      <c r="J284" s="1">
        <v>3.6600000000000001E-2</v>
      </c>
    </row>
    <row r="285" spans="1:10" x14ac:dyDescent="0.25">
      <c r="A285" t="s">
        <v>203</v>
      </c>
      <c r="B285" t="s">
        <v>253</v>
      </c>
      <c r="C285">
        <v>418</v>
      </c>
      <c r="D285" t="s">
        <v>200</v>
      </c>
      <c r="E285">
        <v>5073</v>
      </c>
      <c r="F285" s="1">
        <v>2.87E-2</v>
      </c>
      <c r="G285" s="1">
        <v>0.90680000000000005</v>
      </c>
      <c r="I285" s="1">
        <v>6.25E-2</v>
      </c>
      <c r="J285" s="1">
        <v>2.0999999999999999E-3</v>
      </c>
    </row>
    <row r="286" spans="1:10" x14ac:dyDescent="0.25">
      <c r="A286" t="s">
        <v>203</v>
      </c>
      <c r="B286" t="s">
        <v>254</v>
      </c>
      <c r="C286">
        <v>590</v>
      </c>
      <c r="D286" t="s">
        <v>200</v>
      </c>
      <c r="E286">
        <v>5073</v>
      </c>
      <c r="F286" s="1">
        <v>5.0000000000000001E-4</v>
      </c>
      <c r="G286" s="1">
        <v>0.91690000000000005</v>
      </c>
      <c r="I286" s="1">
        <v>5.7000000000000002E-2</v>
      </c>
      <c r="J286" s="1">
        <v>2.5600000000000001E-2</v>
      </c>
    </row>
    <row r="287" spans="1:10" x14ac:dyDescent="0.25">
      <c r="A287" t="s">
        <v>203</v>
      </c>
      <c r="B287" t="s">
        <v>253</v>
      </c>
      <c r="C287">
        <v>279</v>
      </c>
      <c r="D287" t="s">
        <v>201</v>
      </c>
      <c r="E287">
        <v>5073</v>
      </c>
      <c r="F287" s="1">
        <v>1E-3</v>
      </c>
      <c r="G287" s="1">
        <v>0.95489999999999997</v>
      </c>
      <c r="I287" s="1">
        <v>2.86E-2</v>
      </c>
      <c r="J287" s="1">
        <v>1.5599999999999999E-2</v>
      </c>
    </row>
    <row r="288" spans="1:10" x14ac:dyDescent="0.25">
      <c r="A288" t="s">
        <v>203</v>
      </c>
      <c r="B288" t="s">
        <v>254</v>
      </c>
      <c r="C288">
        <v>366</v>
      </c>
      <c r="D288" t="s">
        <v>201</v>
      </c>
      <c r="E288">
        <v>5073</v>
      </c>
      <c r="F288" s="1">
        <v>2.0999999999999999E-3</v>
      </c>
      <c r="G288" s="1">
        <v>0.88600000000000001</v>
      </c>
      <c r="I288" s="1">
        <v>7.4800000000000005E-2</v>
      </c>
      <c r="J288" s="1">
        <v>3.7100000000000001E-2</v>
      </c>
    </row>
    <row r="289" spans="1:10" x14ac:dyDescent="0.25">
      <c r="A289" t="s">
        <v>203</v>
      </c>
      <c r="B289" t="s">
        <v>253</v>
      </c>
      <c r="C289">
        <v>67</v>
      </c>
      <c r="D289" t="s">
        <v>202</v>
      </c>
      <c r="E289">
        <v>5073</v>
      </c>
      <c r="F289" s="1">
        <v>1.43E-2</v>
      </c>
      <c r="G289" s="1">
        <v>0.92869999999999997</v>
      </c>
      <c r="I289" s="1">
        <v>2.81E-2</v>
      </c>
      <c r="J289" s="1">
        <v>2.8899999999999999E-2</v>
      </c>
    </row>
    <row r="290" spans="1:10" x14ac:dyDescent="0.25">
      <c r="A290" t="s">
        <v>203</v>
      </c>
      <c r="B290" t="s">
        <v>254</v>
      </c>
      <c r="C290">
        <v>104</v>
      </c>
      <c r="D290" t="s">
        <v>202</v>
      </c>
      <c r="E290">
        <v>5073</v>
      </c>
      <c r="F290" s="1">
        <v>9.7999999999999997E-3</v>
      </c>
      <c r="G290" s="1">
        <v>0.82</v>
      </c>
      <c r="I290" s="1">
        <v>9.2899999999999996E-2</v>
      </c>
      <c r="J290" s="1">
        <v>7.7299999999999994E-2</v>
      </c>
    </row>
    <row r="291" spans="1:10" x14ac:dyDescent="0.25">
      <c r="A291" t="s">
        <v>204</v>
      </c>
      <c r="B291" t="s">
        <v>204</v>
      </c>
      <c r="C291">
        <v>5073</v>
      </c>
      <c r="D291" t="s">
        <v>204</v>
      </c>
      <c r="E291">
        <v>5073</v>
      </c>
      <c r="F291" s="1">
        <v>8.6E-3</v>
      </c>
      <c r="G291" s="1">
        <v>0.86570000000000003</v>
      </c>
      <c r="H291" s="1">
        <v>1.8E-3</v>
      </c>
      <c r="I291" s="1">
        <v>9.0700000000000003E-2</v>
      </c>
      <c r="J291" s="1">
        <v>3.3300000000000003E-2</v>
      </c>
    </row>
    <row r="293" spans="1:10" x14ac:dyDescent="0.25">
      <c r="A293" t="s">
        <v>262</v>
      </c>
    </row>
    <row r="294" spans="1:10" x14ac:dyDescent="0.25">
      <c r="A294" t="s">
        <v>190</v>
      </c>
      <c r="B294" t="s">
        <v>206</v>
      </c>
      <c r="C294" t="s">
        <v>195</v>
      </c>
      <c r="D294" t="s">
        <v>189</v>
      </c>
      <c r="E294" t="s">
        <v>196</v>
      </c>
      <c r="F294" t="s">
        <v>220</v>
      </c>
      <c r="G294" t="s">
        <v>257</v>
      </c>
      <c r="H294" t="s">
        <v>215</v>
      </c>
      <c r="I294" t="s">
        <v>258</v>
      </c>
      <c r="J294" t="s">
        <v>259</v>
      </c>
    </row>
    <row r="295" spans="1:10" x14ac:dyDescent="0.25">
      <c r="A295" t="s">
        <v>198</v>
      </c>
      <c r="B295" t="s">
        <v>228</v>
      </c>
      <c r="C295">
        <v>57</v>
      </c>
      <c r="D295" t="s">
        <v>197</v>
      </c>
      <c r="E295">
        <v>5073</v>
      </c>
      <c r="G295" s="1">
        <v>0.80820000000000003</v>
      </c>
      <c r="I295" s="1">
        <v>0.1479</v>
      </c>
      <c r="J295" s="1">
        <v>4.3799999999999999E-2</v>
      </c>
    </row>
    <row r="296" spans="1:10" x14ac:dyDescent="0.25">
      <c r="A296" t="s">
        <v>198</v>
      </c>
      <c r="B296" t="s">
        <v>229</v>
      </c>
      <c r="C296">
        <v>91</v>
      </c>
      <c r="D296" t="s">
        <v>197</v>
      </c>
      <c r="E296">
        <v>5073</v>
      </c>
      <c r="F296" s="1">
        <v>2.5700000000000001E-2</v>
      </c>
      <c r="G296" s="1">
        <v>0.8</v>
      </c>
      <c r="I296" s="1">
        <v>0.1128</v>
      </c>
      <c r="J296" s="1">
        <v>6.1600000000000002E-2</v>
      </c>
    </row>
    <row r="297" spans="1:10" x14ac:dyDescent="0.25">
      <c r="A297" t="s">
        <v>198</v>
      </c>
      <c r="B297" t="s">
        <v>228</v>
      </c>
      <c r="C297">
        <v>275</v>
      </c>
      <c r="D297" t="s">
        <v>199</v>
      </c>
      <c r="E297">
        <v>5073</v>
      </c>
      <c r="F297" s="1">
        <v>2.5000000000000001E-3</v>
      </c>
      <c r="G297" s="1">
        <v>0.80400000000000005</v>
      </c>
      <c r="I297" s="1">
        <v>0.1797</v>
      </c>
      <c r="J297" s="1">
        <v>1.3899999999999999E-2</v>
      </c>
    </row>
    <row r="298" spans="1:10" x14ac:dyDescent="0.25">
      <c r="A298" t="s">
        <v>198</v>
      </c>
      <c r="B298" t="s">
        <v>229</v>
      </c>
      <c r="C298">
        <v>397</v>
      </c>
      <c r="D298" t="s">
        <v>199</v>
      </c>
      <c r="E298">
        <v>5073</v>
      </c>
      <c r="F298" s="1">
        <v>4.0000000000000002E-4</v>
      </c>
      <c r="G298" s="1">
        <v>0.8881</v>
      </c>
      <c r="I298" s="1">
        <v>6.1699999999999998E-2</v>
      </c>
      <c r="J298" s="1">
        <v>4.9799999999999997E-2</v>
      </c>
    </row>
    <row r="299" spans="1:10" x14ac:dyDescent="0.25">
      <c r="A299" t="s">
        <v>198</v>
      </c>
      <c r="B299" t="s">
        <v>229</v>
      </c>
      <c r="C299">
        <v>489</v>
      </c>
      <c r="D299" t="s">
        <v>200</v>
      </c>
      <c r="E299">
        <v>5073</v>
      </c>
      <c r="F299" s="1">
        <v>3.8E-3</v>
      </c>
      <c r="G299" s="1">
        <v>0.86660000000000004</v>
      </c>
      <c r="H299" s="1">
        <v>1.1999999999999999E-3</v>
      </c>
      <c r="I299" s="1">
        <v>9.1499999999999998E-2</v>
      </c>
      <c r="J299" s="1">
        <v>3.6799999999999999E-2</v>
      </c>
    </row>
    <row r="300" spans="1:10" x14ac:dyDescent="0.25">
      <c r="A300" t="s">
        <v>198</v>
      </c>
      <c r="B300" t="s">
        <v>228</v>
      </c>
      <c r="C300">
        <v>227</v>
      </c>
      <c r="D300" t="s">
        <v>200</v>
      </c>
      <c r="E300">
        <v>5073</v>
      </c>
      <c r="F300" s="1">
        <v>5.3E-3</v>
      </c>
      <c r="G300" s="1">
        <v>0.89629999999999999</v>
      </c>
      <c r="I300" s="1">
        <v>9.7900000000000001E-2</v>
      </c>
      <c r="J300" s="1">
        <v>4.0000000000000002E-4</v>
      </c>
    </row>
    <row r="301" spans="1:10" x14ac:dyDescent="0.25">
      <c r="A301" t="s">
        <v>198</v>
      </c>
      <c r="B301" t="s">
        <v>228</v>
      </c>
      <c r="C301">
        <v>179</v>
      </c>
      <c r="D301" t="s">
        <v>201</v>
      </c>
      <c r="E301">
        <v>5073</v>
      </c>
      <c r="F301" s="1">
        <v>1.04E-2</v>
      </c>
      <c r="G301" s="1">
        <v>0.81200000000000006</v>
      </c>
      <c r="I301" s="1">
        <v>0.12239999999999999</v>
      </c>
      <c r="J301" s="1">
        <v>5.5199999999999999E-2</v>
      </c>
    </row>
    <row r="302" spans="1:10" x14ac:dyDescent="0.25">
      <c r="A302" t="s">
        <v>198</v>
      </c>
      <c r="B302" t="s">
        <v>229</v>
      </c>
      <c r="C302">
        <v>290</v>
      </c>
      <c r="D302" t="s">
        <v>201</v>
      </c>
      <c r="E302">
        <v>5073</v>
      </c>
      <c r="F302" s="1">
        <v>3.4799999999999998E-2</v>
      </c>
      <c r="G302" s="1">
        <v>0.74099999999999999</v>
      </c>
      <c r="I302" s="1">
        <v>0.16889999999999999</v>
      </c>
      <c r="J302" s="1">
        <v>5.5399999999999998E-2</v>
      </c>
    </row>
    <row r="303" spans="1:10" x14ac:dyDescent="0.25">
      <c r="A303" t="s">
        <v>198</v>
      </c>
      <c r="B303" t="s">
        <v>228</v>
      </c>
      <c r="C303">
        <v>48</v>
      </c>
      <c r="D303" t="s">
        <v>202</v>
      </c>
      <c r="E303">
        <v>5073</v>
      </c>
      <c r="G303" s="1">
        <v>0.63180000000000003</v>
      </c>
      <c r="I303" s="1">
        <v>0.25519999999999998</v>
      </c>
      <c r="J303" s="1">
        <v>0.113</v>
      </c>
    </row>
    <row r="304" spans="1:10" x14ac:dyDescent="0.25">
      <c r="A304" t="s">
        <v>198</v>
      </c>
      <c r="B304" t="s">
        <v>229</v>
      </c>
      <c r="C304">
        <v>113</v>
      </c>
      <c r="D304" t="s">
        <v>202</v>
      </c>
      <c r="E304">
        <v>5073</v>
      </c>
      <c r="F304" s="1">
        <v>8.2000000000000007E-3</v>
      </c>
      <c r="G304" s="1">
        <v>0.8024</v>
      </c>
      <c r="H304" s="1">
        <v>7.4000000000000003E-3</v>
      </c>
      <c r="I304" s="1">
        <v>0.13780000000000001</v>
      </c>
      <c r="J304" s="1">
        <v>4.4200000000000003E-2</v>
      </c>
    </row>
    <row r="305" spans="1:17" x14ac:dyDescent="0.25">
      <c r="A305" t="s">
        <v>203</v>
      </c>
      <c r="B305" t="s">
        <v>229</v>
      </c>
      <c r="C305">
        <v>703</v>
      </c>
      <c r="D305" t="s">
        <v>199</v>
      </c>
      <c r="E305">
        <v>5073</v>
      </c>
      <c r="F305" s="1">
        <v>2.2000000000000001E-3</v>
      </c>
      <c r="G305" s="1">
        <v>0.85980000000000001</v>
      </c>
      <c r="H305" s="1">
        <v>1.0200000000000001E-2</v>
      </c>
      <c r="I305" s="1">
        <v>9.4899999999999998E-2</v>
      </c>
      <c r="J305" s="1">
        <v>3.2800000000000003E-2</v>
      </c>
    </row>
    <row r="306" spans="1:17" x14ac:dyDescent="0.25">
      <c r="A306" t="s">
        <v>203</v>
      </c>
      <c r="B306" t="s">
        <v>228</v>
      </c>
      <c r="C306">
        <v>316</v>
      </c>
      <c r="D306" t="s">
        <v>199</v>
      </c>
      <c r="E306">
        <v>5073</v>
      </c>
      <c r="F306" s="1">
        <v>6.7000000000000002E-3</v>
      </c>
      <c r="G306" s="1">
        <v>0.87970000000000004</v>
      </c>
      <c r="I306" s="1">
        <v>9.9500000000000005E-2</v>
      </c>
      <c r="J306" s="1">
        <v>1.41E-2</v>
      </c>
    </row>
    <row r="307" spans="1:17" x14ac:dyDescent="0.25">
      <c r="A307" t="s">
        <v>203</v>
      </c>
      <c r="B307" t="s">
        <v>229</v>
      </c>
      <c r="C307">
        <v>676</v>
      </c>
      <c r="D307" t="s">
        <v>200</v>
      </c>
      <c r="E307">
        <v>5073</v>
      </c>
      <c r="F307" s="1">
        <v>1.55E-2</v>
      </c>
      <c r="G307" s="1">
        <v>0.90129999999999999</v>
      </c>
      <c r="I307" s="1">
        <v>6.3600000000000004E-2</v>
      </c>
      <c r="J307" s="1">
        <v>1.9599999999999999E-2</v>
      </c>
    </row>
    <row r="308" spans="1:17" x14ac:dyDescent="0.25">
      <c r="A308" t="s">
        <v>203</v>
      </c>
      <c r="B308" t="s">
        <v>228</v>
      </c>
      <c r="C308">
        <v>330</v>
      </c>
      <c r="D308" t="s">
        <v>200</v>
      </c>
      <c r="E308">
        <v>5073</v>
      </c>
      <c r="F308" s="1">
        <v>1E-3</v>
      </c>
      <c r="G308" s="1">
        <v>0.95379999999999998</v>
      </c>
      <c r="I308" s="1">
        <v>4.3499999999999997E-2</v>
      </c>
      <c r="J308" s="1">
        <v>1.6000000000000001E-3</v>
      </c>
    </row>
    <row r="309" spans="1:17" x14ac:dyDescent="0.25">
      <c r="A309" t="s">
        <v>203</v>
      </c>
      <c r="B309" t="s">
        <v>229</v>
      </c>
      <c r="C309">
        <v>258</v>
      </c>
      <c r="D309" t="s">
        <v>201</v>
      </c>
      <c r="E309">
        <v>5073</v>
      </c>
      <c r="F309" s="1">
        <v>1.6999999999999999E-3</v>
      </c>
      <c r="G309" s="1">
        <v>0.90959999999999996</v>
      </c>
      <c r="I309" s="1">
        <v>5.2699999999999997E-2</v>
      </c>
      <c r="J309" s="1">
        <v>3.61E-2</v>
      </c>
    </row>
    <row r="310" spans="1:17" x14ac:dyDescent="0.25">
      <c r="A310" t="s">
        <v>203</v>
      </c>
      <c r="B310" t="s">
        <v>228</v>
      </c>
      <c r="C310">
        <v>374</v>
      </c>
      <c r="D310" t="s">
        <v>201</v>
      </c>
      <c r="E310">
        <v>5073</v>
      </c>
      <c r="F310" s="1">
        <v>1.5E-3</v>
      </c>
      <c r="G310" s="1">
        <v>0.92979999999999996</v>
      </c>
      <c r="I310" s="1">
        <v>6.3200000000000006E-2</v>
      </c>
      <c r="J310" s="1">
        <v>5.4999999999999997E-3</v>
      </c>
    </row>
    <row r="311" spans="1:17" x14ac:dyDescent="0.25">
      <c r="A311" t="s">
        <v>203</v>
      </c>
      <c r="B311" t="s">
        <v>228</v>
      </c>
      <c r="C311">
        <v>67</v>
      </c>
      <c r="D311" t="s">
        <v>202</v>
      </c>
      <c r="E311">
        <v>5073</v>
      </c>
      <c r="F311" s="1">
        <v>1.0200000000000001E-2</v>
      </c>
      <c r="G311" s="1">
        <v>0.81879999999999997</v>
      </c>
      <c r="I311" s="1">
        <v>0.1139</v>
      </c>
      <c r="J311" s="1">
        <v>5.7000000000000002E-2</v>
      </c>
    </row>
    <row r="312" spans="1:17" x14ac:dyDescent="0.25">
      <c r="A312" t="s">
        <v>203</v>
      </c>
      <c r="B312" t="s">
        <v>229</v>
      </c>
      <c r="C312">
        <v>104</v>
      </c>
      <c r="D312" t="s">
        <v>202</v>
      </c>
      <c r="E312">
        <v>5073</v>
      </c>
      <c r="F312" s="1">
        <v>1.2E-2</v>
      </c>
      <c r="G312" s="1">
        <v>0.87690000000000001</v>
      </c>
      <c r="I312" s="1">
        <v>4.99E-2</v>
      </c>
      <c r="J312" s="1">
        <v>6.1199999999999997E-2</v>
      </c>
    </row>
    <row r="313" spans="1:17" x14ac:dyDescent="0.25">
      <c r="A313" t="s">
        <v>204</v>
      </c>
      <c r="B313" t="s">
        <v>204</v>
      </c>
      <c r="C313">
        <v>5073</v>
      </c>
      <c r="D313" t="s">
        <v>204</v>
      </c>
      <c r="E313">
        <v>5073</v>
      </c>
      <c r="F313" s="1">
        <v>8.6E-3</v>
      </c>
      <c r="G313" s="1">
        <v>0.86570000000000003</v>
      </c>
      <c r="H313" s="1">
        <v>1.8E-3</v>
      </c>
      <c r="I313" s="1">
        <v>9.0700000000000003E-2</v>
      </c>
      <c r="J313" s="1">
        <v>3.3300000000000003E-2</v>
      </c>
    </row>
    <row r="315" spans="1:17" x14ac:dyDescent="0.25">
      <c r="A315" t="s">
        <v>263</v>
      </c>
    </row>
    <row r="316" spans="1:17" x14ac:dyDescent="0.25">
      <c r="A316" t="s">
        <v>190</v>
      </c>
      <c r="B316" t="s">
        <v>195</v>
      </c>
      <c r="C316" t="s">
        <v>189</v>
      </c>
      <c r="D316" t="s">
        <v>196</v>
      </c>
      <c r="E316" t="s">
        <v>264</v>
      </c>
      <c r="F316" t="s">
        <v>220</v>
      </c>
      <c r="G316" t="s">
        <v>265</v>
      </c>
      <c r="H316" t="s">
        <v>266</v>
      </c>
      <c r="I316" t="s">
        <v>267</v>
      </c>
      <c r="J316" t="s">
        <v>268</v>
      </c>
      <c r="K316" t="s">
        <v>269</v>
      </c>
      <c r="L316" t="s">
        <v>270</v>
      </c>
      <c r="M316" t="s">
        <v>271</v>
      </c>
      <c r="N316" t="s">
        <v>272</v>
      </c>
      <c r="O316" t="s">
        <v>235</v>
      </c>
      <c r="P316" t="s">
        <v>215</v>
      </c>
      <c r="Q316" t="s">
        <v>273</v>
      </c>
    </row>
    <row r="317" spans="1:17" s="29" customFormat="1" x14ac:dyDescent="0.25">
      <c r="A317" s="29" t="s">
        <v>198</v>
      </c>
      <c r="B317" s="29">
        <v>28</v>
      </c>
      <c r="C317" s="29" t="s">
        <v>197</v>
      </c>
      <c r="D317" s="29">
        <v>652</v>
      </c>
      <c r="E317" s="30">
        <v>9.8900000000000002E-2</v>
      </c>
      <c r="H317" s="30">
        <v>7.5999999999999998E-2</v>
      </c>
      <c r="J317" s="30">
        <v>0.33289999999999997</v>
      </c>
      <c r="K317" s="30">
        <v>0.24379999999999999</v>
      </c>
      <c r="L317" s="30">
        <v>9.8900000000000002E-2</v>
      </c>
      <c r="M317" s="30">
        <v>0.10979999999999999</v>
      </c>
      <c r="N317" s="30">
        <v>0.27760000000000001</v>
      </c>
      <c r="Q317" s="30">
        <v>0.13980000000000001</v>
      </c>
    </row>
    <row r="318" spans="1:17" x14ac:dyDescent="0.25">
      <c r="A318" t="s">
        <v>198</v>
      </c>
      <c r="B318">
        <v>92</v>
      </c>
      <c r="C318" t="s">
        <v>199</v>
      </c>
      <c r="D318">
        <v>652</v>
      </c>
      <c r="E318" s="1">
        <v>2.5600000000000001E-2</v>
      </c>
      <c r="F318" s="1">
        <v>1.4500000000000001E-2</v>
      </c>
      <c r="H318" s="1">
        <v>3.3999999999999998E-3</v>
      </c>
      <c r="I318" s="1">
        <v>2.7699999999999999E-2</v>
      </c>
      <c r="J318" s="1">
        <v>0.35560000000000003</v>
      </c>
      <c r="K318" s="1">
        <v>0.34949999999999998</v>
      </c>
      <c r="L318" s="1">
        <v>0.14829999999999999</v>
      </c>
      <c r="M318" s="1">
        <v>5.3100000000000001E-2</v>
      </c>
      <c r="N318" s="1">
        <v>0.59470000000000001</v>
      </c>
      <c r="O318" s="1">
        <v>7.1000000000000004E-3</v>
      </c>
      <c r="Q318" s="1">
        <v>1.52E-2</v>
      </c>
    </row>
    <row r="319" spans="1:17" x14ac:dyDescent="0.25">
      <c r="A319" t="s">
        <v>198</v>
      </c>
      <c r="B319">
        <v>102</v>
      </c>
      <c r="C319" t="s">
        <v>200</v>
      </c>
      <c r="D319">
        <v>652</v>
      </c>
      <c r="E319" s="1">
        <v>0.1222</v>
      </c>
      <c r="H319" s="1">
        <v>2.92E-2</v>
      </c>
      <c r="I319" s="1">
        <v>5.0799999999999998E-2</v>
      </c>
      <c r="J319" s="1">
        <v>0.2762</v>
      </c>
      <c r="K319" s="1">
        <v>0.1394</v>
      </c>
      <c r="L319" s="1">
        <v>0.13400000000000001</v>
      </c>
      <c r="M319" s="1">
        <v>0.1245</v>
      </c>
      <c r="N319" s="1">
        <v>0.25869999999999999</v>
      </c>
      <c r="P319" s="1">
        <v>2.0199999999999999E-2</v>
      </c>
      <c r="Q319" s="1">
        <v>7.3099999999999998E-2</v>
      </c>
    </row>
    <row r="320" spans="1:17" x14ac:dyDescent="0.25">
      <c r="A320" t="s">
        <v>198</v>
      </c>
      <c r="B320">
        <v>90</v>
      </c>
      <c r="C320" t="s">
        <v>201</v>
      </c>
      <c r="D320">
        <v>652</v>
      </c>
      <c r="E320" s="1">
        <v>0.10879999999999999</v>
      </c>
      <c r="H320" s="1">
        <v>6.1899999999999997E-2</v>
      </c>
      <c r="I320" s="1">
        <v>5.8099999999999999E-2</v>
      </c>
      <c r="J320" s="1">
        <v>0.16700000000000001</v>
      </c>
      <c r="K320" s="1">
        <v>0.17319999999999999</v>
      </c>
      <c r="L320" s="1">
        <v>0.11119999999999999</v>
      </c>
      <c r="M320" s="1">
        <v>0.14710000000000001</v>
      </c>
      <c r="N320" s="1">
        <v>0.39369999999999999</v>
      </c>
      <c r="Q320" s="1">
        <v>4.5999999999999999E-2</v>
      </c>
    </row>
    <row r="321" spans="1:18" x14ac:dyDescent="0.25">
      <c r="A321" t="s">
        <v>198</v>
      </c>
      <c r="B321">
        <v>32</v>
      </c>
      <c r="C321" t="s">
        <v>202</v>
      </c>
      <c r="D321">
        <v>652</v>
      </c>
      <c r="E321" s="1">
        <v>0.10580000000000001</v>
      </c>
      <c r="H321" s="1">
        <v>0.1246</v>
      </c>
      <c r="J321" s="1">
        <v>0.24629999999999999</v>
      </c>
      <c r="K321" s="1">
        <v>0.1038</v>
      </c>
      <c r="L321" s="1">
        <v>0.13200000000000001</v>
      </c>
      <c r="M321" s="1">
        <v>2.8299999999999999E-2</v>
      </c>
      <c r="N321" s="1">
        <v>0.44209999999999999</v>
      </c>
      <c r="O321" s="1">
        <v>2.5399999999999999E-2</v>
      </c>
    </row>
    <row r="322" spans="1:18" x14ac:dyDescent="0.25">
      <c r="A322" t="s">
        <v>203</v>
      </c>
      <c r="B322">
        <v>136</v>
      </c>
      <c r="C322" t="s">
        <v>199</v>
      </c>
      <c r="D322">
        <v>652</v>
      </c>
      <c r="E322" s="1">
        <v>0.12239999999999999</v>
      </c>
      <c r="G322" s="1">
        <v>3.61E-2</v>
      </c>
      <c r="H322" s="1">
        <v>5.6599999999999998E-2</v>
      </c>
      <c r="I322" s="1">
        <v>6.4000000000000003E-3</v>
      </c>
      <c r="J322" s="1">
        <v>0.20949999999999999</v>
      </c>
      <c r="K322" s="1">
        <v>0.22389999999999999</v>
      </c>
      <c r="L322" s="1">
        <v>7.1099999999999997E-2</v>
      </c>
      <c r="M322" s="1">
        <v>4.5900000000000003E-2</v>
      </c>
      <c r="N322" s="1">
        <v>0.60860000000000003</v>
      </c>
      <c r="O322" s="1">
        <v>8.6999999999999994E-3</v>
      </c>
      <c r="Q322" s="1">
        <v>4.8300000000000003E-2</v>
      </c>
    </row>
    <row r="323" spans="1:18" x14ac:dyDescent="0.25">
      <c r="A323" t="s">
        <v>203</v>
      </c>
      <c r="B323">
        <v>68</v>
      </c>
      <c r="C323" t="s">
        <v>200</v>
      </c>
      <c r="D323">
        <v>652</v>
      </c>
      <c r="E323" s="1">
        <v>6.8199999999999997E-2</v>
      </c>
      <c r="G323" s="1">
        <v>1.14E-2</v>
      </c>
      <c r="H323" s="1">
        <v>3.7400000000000003E-2</v>
      </c>
      <c r="I323" s="1">
        <v>0.14219999999999999</v>
      </c>
      <c r="J323" s="1">
        <v>0.18770000000000001</v>
      </c>
      <c r="K323" s="1">
        <v>0.3574</v>
      </c>
      <c r="L323" s="1">
        <v>8.6300000000000002E-2</v>
      </c>
      <c r="M323" s="1">
        <v>3.2800000000000003E-2</v>
      </c>
      <c r="N323" s="1">
        <v>0.46260000000000001</v>
      </c>
      <c r="Q323" s="1">
        <v>8.9999999999999998E-4</v>
      </c>
    </row>
    <row r="324" spans="1:18" x14ac:dyDescent="0.25">
      <c r="A324" t="s">
        <v>203</v>
      </c>
      <c r="B324">
        <v>79</v>
      </c>
      <c r="C324" t="s">
        <v>201</v>
      </c>
      <c r="D324">
        <v>652</v>
      </c>
      <c r="E324" s="1">
        <v>0.14599999999999999</v>
      </c>
      <c r="G324" s="1">
        <v>4.3099999999999999E-2</v>
      </c>
      <c r="H324" s="1">
        <v>3.8399999999999997E-2</v>
      </c>
      <c r="I324" s="1">
        <v>5.1499999999999997E-2</v>
      </c>
      <c r="J324" s="1">
        <v>0.35920000000000002</v>
      </c>
      <c r="K324" s="1">
        <v>0.4128</v>
      </c>
      <c r="L324" s="1">
        <v>0.1278</v>
      </c>
      <c r="M324" s="1">
        <v>4.8999999999999998E-3</v>
      </c>
      <c r="N324" s="1">
        <v>0.49690000000000001</v>
      </c>
      <c r="O324" s="1">
        <v>2.8799999999999999E-2</v>
      </c>
      <c r="Q324" s="1">
        <v>7.2700000000000001E-2</v>
      </c>
    </row>
    <row r="325" spans="1:18" s="29" customFormat="1" x14ac:dyDescent="0.25">
      <c r="A325" s="29" t="s">
        <v>203</v>
      </c>
      <c r="B325" s="29">
        <v>25</v>
      </c>
      <c r="C325" s="29" t="s">
        <v>202</v>
      </c>
      <c r="D325" s="29">
        <v>652</v>
      </c>
      <c r="E325" s="30">
        <v>7.7499999999999999E-2</v>
      </c>
      <c r="G325" s="30">
        <v>5.5199999999999999E-2</v>
      </c>
      <c r="H325" s="30">
        <v>5.1299999999999998E-2</v>
      </c>
      <c r="I325" s="30">
        <v>3.5999999999999997E-2</v>
      </c>
      <c r="J325" s="30">
        <v>0.3528</v>
      </c>
      <c r="K325" s="30">
        <v>0.36780000000000002</v>
      </c>
      <c r="L325" s="30">
        <v>0.1153</v>
      </c>
      <c r="M325" s="30">
        <v>1.5299999999999999E-2</v>
      </c>
      <c r="N325" s="30">
        <v>0.45839999999999997</v>
      </c>
      <c r="Q325" s="30">
        <v>6.6199999999999995E-2</v>
      </c>
    </row>
    <row r="326" spans="1:18" x14ac:dyDescent="0.25">
      <c r="A326" t="s">
        <v>204</v>
      </c>
      <c r="B326">
        <v>652</v>
      </c>
      <c r="C326" t="s">
        <v>204</v>
      </c>
      <c r="D326">
        <v>652</v>
      </c>
      <c r="E326" s="1">
        <v>9.1800000000000007E-2</v>
      </c>
      <c r="F326" s="1">
        <v>2E-3</v>
      </c>
      <c r="G326" s="1">
        <v>1.1599999999999999E-2</v>
      </c>
      <c r="H326" s="1">
        <v>5.4100000000000002E-2</v>
      </c>
      <c r="I326" s="1">
        <v>4.6399999999999997E-2</v>
      </c>
      <c r="J326" s="1">
        <v>0.2601</v>
      </c>
      <c r="K326" s="1">
        <v>0.24970000000000001</v>
      </c>
      <c r="L326" s="1">
        <v>0.1119</v>
      </c>
      <c r="M326" s="1">
        <v>6.2399999999999997E-2</v>
      </c>
      <c r="N326" s="1">
        <v>0.44990000000000002</v>
      </c>
      <c r="O326" s="1">
        <v>7.1000000000000004E-3</v>
      </c>
      <c r="P326" s="1">
        <v>2.5000000000000001E-3</v>
      </c>
      <c r="Q326" s="1">
        <v>4.0599999999999997E-2</v>
      </c>
    </row>
    <row r="328" spans="1:18" x14ac:dyDescent="0.25">
      <c r="A328" t="s">
        <v>274</v>
      </c>
    </row>
    <row r="329" spans="1:18" x14ac:dyDescent="0.25">
      <c r="A329" t="s">
        <v>190</v>
      </c>
      <c r="B329" t="s">
        <v>206</v>
      </c>
      <c r="C329" t="s">
        <v>195</v>
      </c>
      <c r="D329" t="s">
        <v>189</v>
      </c>
      <c r="E329" t="s">
        <v>196</v>
      </c>
      <c r="F329" t="s">
        <v>264</v>
      </c>
      <c r="G329" t="s">
        <v>220</v>
      </c>
      <c r="H329" t="s">
        <v>265</v>
      </c>
      <c r="I329" t="s">
        <v>266</v>
      </c>
      <c r="J329" t="s">
        <v>267</v>
      </c>
      <c r="K329" t="s">
        <v>268</v>
      </c>
      <c r="L329" t="s">
        <v>269</v>
      </c>
      <c r="M329" t="s">
        <v>270</v>
      </c>
      <c r="N329" t="s">
        <v>271</v>
      </c>
      <c r="O329" t="s">
        <v>272</v>
      </c>
      <c r="P329" t="s">
        <v>235</v>
      </c>
      <c r="Q329" t="s">
        <v>215</v>
      </c>
      <c r="R329" t="s">
        <v>273</v>
      </c>
    </row>
    <row r="330" spans="1:18" s="29" customFormat="1" x14ac:dyDescent="0.25">
      <c r="A330" s="29" t="s">
        <v>198</v>
      </c>
      <c r="B330" s="29" t="s">
        <v>249</v>
      </c>
      <c r="C330" s="29">
        <v>5</v>
      </c>
      <c r="D330" s="29" t="s">
        <v>197</v>
      </c>
      <c r="E330" s="29">
        <v>652</v>
      </c>
      <c r="I330" s="30">
        <v>0.2</v>
      </c>
      <c r="K330" s="30">
        <v>0.2</v>
      </c>
      <c r="L330" s="30">
        <v>0.4</v>
      </c>
      <c r="O330" s="30">
        <v>0.4</v>
      </c>
    </row>
    <row r="331" spans="1:18" s="29" customFormat="1" x14ac:dyDescent="0.25">
      <c r="A331" s="29" t="s">
        <v>198</v>
      </c>
      <c r="B331" s="29" t="s">
        <v>251</v>
      </c>
      <c r="C331" s="29">
        <v>9</v>
      </c>
      <c r="D331" s="29" t="s">
        <v>197</v>
      </c>
      <c r="E331" s="29">
        <v>652</v>
      </c>
      <c r="K331" s="30">
        <v>0.59960000000000002</v>
      </c>
      <c r="L331" s="30">
        <v>0.20610000000000001</v>
      </c>
      <c r="M331" s="30">
        <v>0.20610000000000001</v>
      </c>
      <c r="O331" s="30">
        <v>0.2787</v>
      </c>
      <c r="R331" s="30">
        <v>0.13350000000000001</v>
      </c>
    </row>
    <row r="332" spans="1:18" s="29" customFormat="1" x14ac:dyDescent="0.25">
      <c r="A332" s="29" t="s">
        <v>198</v>
      </c>
      <c r="B332" s="29" t="s">
        <v>248</v>
      </c>
      <c r="C332" s="29">
        <v>5</v>
      </c>
      <c r="D332" s="29" t="s">
        <v>197</v>
      </c>
      <c r="E332" s="29">
        <v>652</v>
      </c>
      <c r="F332" s="30">
        <v>0.20580000000000001</v>
      </c>
      <c r="K332" s="30">
        <v>0.4234</v>
      </c>
      <c r="L332" s="30">
        <v>0.112</v>
      </c>
      <c r="N332" s="30">
        <v>0.20580000000000001</v>
      </c>
      <c r="R332" s="30">
        <v>0.1651</v>
      </c>
    </row>
    <row r="333" spans="1:18" s="29" customFormat="1" x14ac:dyDescent="0.25">
      <c r="A333" s="29" t="s">
        <v>198</v>
      </c>
      <c r="B333" s="29" t="s">
        <v>250</v>
      </c>
      <c r="C333" s="29">
        <v>9</v>
      </c>
      <c r="D333" s="29" t="s">
        <v>197</v>
      </c>
      <c r="E333" s="29">
        <v>652</v>
      </c>
      <c r="F333" s="30">
        <v>0.18310000000000001</v>
      </c>
      <c r="I333" s="30">
        <v>0.13589999999999999</v>
      </c>
      <c r="K333" s="30">
        <v>7.3999999999999996E-2</v>
      </c>
      <c r="L333" s="30">
        <v>0.28389999999999999</v>
      </c>
      <c r="M333" s="30">
        <v>0.1091</v>
      </c>
      <c r="N333" s="30">
        <v>0.21820000000000001</v>
      </c>
      <c r="O333" s="30">
        <v>0.39300000000000002</v>
      </c>
      <c r="R333" s="30">
        <v>0.20569999999999999</v>
      </c>
    </row>
    <row r="334" spans="1:18" s="29" customFormat="1" x14ac:dyDescent="0.25">
      <c r="A334" s="29" t="s">
        <v>198</v>
      </c>
      <c r="B334" s="29" t="s">
        <v>249</v>
      </c>
      <c r="C334" s="29">
        <v>17</v>
      </c>
      <c r="D334" s="29" t="s">
        <v>199</v>
      </c>
      <c r="E334" s="29">
        <v>652</v>
      </c>
      <c r="K334" s="30">
        <v>0.43020000000000003</v>
      </c>
      <c r="L334" s="30">
        <v>0.71850000000000003</v>
      </c>
      <c r="M334" s="30">
        <v>5.04E-2</v>
      </c>
      <c r="N334" s="30">
        <v>1.7500000000000002E-2</v>
      </c>
      <c r="O334" s="30">
        <v>0.86029999999999995</v>
      </c>
      <c r="R334" s="30">
        <v>1.11E-2</v>
      </c>
    </row>
    <row r="335" spans="1:18" x14ac:dyDescent="0.25">
      <c r="A335" t="s">
        <v>198</v>
      </c>
      <c r="B335" t="s">
        <v>251</v>
      </c>
      <c r="C335">
        <v>39</v>
      </c>
      <c r="D335" t="s">
        <v>199</v>
      </c>
      <c r="E335">
        <v>652</v>
      </c>
      <c r="F335" s="1">
        <v>5.2600000000000001E-2</v>
      </c>
      <c r="G335" s="1">
        <v>1.52E-2</v>
      </c>
      <c r="I335" s="1">
        <v>4.1000000000000003E-3</v>
      </c>
      <c r="J335" s="1">
        <v>3.7100000000000001E-2</v>
      </c>
      <c r="K335" s="1">
        <v>0.223</v>
      </c>
      <c r="L335" s="1">
        <v>7.2400000000000006E-2</v>
      </c>
      <c r="M335" s="1">
        <v>0.29060000000000002</v>
      </c>
      <c r="N335" s="1">
        <v>2.8799999999999999E-2</v>
      </c>
      <c r="O335" s="1">
        <v>0.58909999999999996</v>
      </c>
      <c r="P335" s="1">
        <v>2.29E-2</v>
      </c>
    </row>
    <row r="336" spans="1:18" s="29" customFormat="1" x14ac:dyDescent="0.25">
      <c r="A336" s="29" t="s">
        <v>198</v>
      </c>
      <c r="B336" s="29" t="s">
        <v>248</v>
      </c>
      <c r="C336" s="29">
        <v>1</v>
      </c>
      <c r="D336" s="29" t="s">
        <v>199</v>
      </c>
      <c r="E336" s="29">
        <v>652</v>
      </c>
      <c r="M336" s="30">
        <v>1</v>
      </c>
    </row>
    <row r="337" spans="1:18" x14ac:dyDescent="0.25">
      <c r="A337" t="s">
        <v>198</v>
      </c>
      <c r="B337" t="s">
        <v>250</v>
      </c>
      <c r="C337">
        <v>35</v>
      </c>
      <c r="D337" t="s">
        <v>199</v>
      </c>
      <c r="E337">
        <v>652</v>
      </c>
      <c r="F337" s="1">
        <v>2.5600000000000001E-2</v>
      </c>
      <c r="G337" s="1">
        <v>2.6800000000000001E-2</v>
      </c>
      <c r="I337" s="1">
        <v>5.8999999999999999E-3</v>
      </c>
      <c r="J337" s="1">
        <v>4.4299999999999999E-2</v>
      </c>
      <c r="K337" s="1">
        <v>0.40489999999999998</v>
      </c>
      <c r="L337" s="1">
        <v>0.26219999999999999</v>
      </c>
      <c r="M337" s="1">
        <v>0.1065</v>
      </c>
      <c r="N337" s="1">
        <v>0.1052</v>
      </c>
      <c r="O337" s="1">
        <v>0.3725</v>
      </c>
      <c r="R337" s="1">
        <v>3.1800000000000002E-2</v>
      </c>
    </row>
    <row r="338" spans="1:18" s="29" customFormat="1" x14ac:dyDescent="0.25">
      <c r="A338" s="29" t="s">
        <v>198</v>
      </c>
      <c r="B338" s="29" t="s">
        <v>248</v>
      </c>
      <c r="C338" s="29">
        <v>13</v>
      </c>
      <c r="D338" s="29" t="s">
        <v>200</v>
      </c>
      <c r="E338" s="29">
        <v>652</v>
      </c>
      <c r="F338" s="30">
        <v>0.42720000000000002</v>
      </c>
      <c r="K338" s="30">
        <v>0.2165</v>
      </c>
      <c r="L338" s="30">
        <v>4.7300000000000002E-2</v>
      </c>
      <c r="N338" s="30">
        <v>5.6899999999999999E-2</v>
      </c>
      <c r="O338" s="30">
        <v>0.30199999999999999</v>
      </c>
      <c r="R338" s="30">
        <v>0.35010000000000002</v>
      </c>
    </row>
    <row r="339" spans="1:18" x14ac:dyDescent="0.25">
      <c r="A339" t="s">
        <v>198</v>
      </c>
      <c r="B339" t="s">
        <v>251</v>
      </c>
      <c r="C339">
        <v>39</v>
      </c>
      <c r="D339" t="s">
        <v>200</v>
      </c>
      <c r="E339">
        <v>652</v>
      </c>
      <c r="F339" s="1">
        <v>3.2000000000000002E-3</v>
      </c>
      <c r="J339" s="1">
        <v>8.2000000000000007E-3</v>
      </c>
      <c r="K339" s="1">
        <v>0.2437</v>
      </c>
      <c r="L339" s="1">
        <v>0.1237</v>
      </c>
      <c r="M339" s="1">
        <v>0.37019999999999997</v>
      </c>
      <c r="N339" s="1">
        <v>0.22620000000000001</v>
      </c>
      <c r="O339" s="1">
        <v>0.24410000000000001</v>
      </c>
      <c r="R339" s="1">
        <v>2.98E-2</v>
      </c>
    </row>
    <row r="340" spans="1:18" s="29" customFormat="1" x14ac:dyDescent="0.25">
      <c r="A340" s="29" t="s">
        <v>198</v>
      </c>
      <c r="B340" s="29" t="s">
        <v>249</v>
      </c>
      <c r="C340" s="29">
        <v>20</v>
      </c>
      <c r="D340" s="29" t="s">
        <v>200</v>
      </c>
      <c r="E340" s="29">
        <v>652</v>
      </c>
      <c r="I340" s="30">
        <v>9.3100000000000002E-2</v>
      </c>
      <c r="J340" s="30">
        <v>7.5499999999999998E-2</v>
      </c>
      <c r="K340" s="30">
        <v>0.1414</v>
      </c>
      <c r="L340" s="30">
        <v>0.25159999999999999</v>
      </c>
      <c r="M340" s="30">
        <v>2.3599999999999999E-2</v>
      </c>
      <c r="N340" s="30">
        <v>0.15010000000000001</v>
      </c>
      <c r="O340" s="30">
        <v>0.37619999999999998</v>
      </c>
      <c r="Q340" s="30">
        <v>7.5499999999999998E-2</v>
      </c>
    </row>
    <row r="341" spans="1:18" x14ac:dyDescent="0.25">
      <c r="A341" t="s">
        <v>198</v>
      </c>
      <c r="B341" t="s">
        <v>250</v>
      </c>
      <c r="C341">
        <v>30</v>
      </c>
      <c r="D341" t="s">
        <v>200</v>
      </c>
      <c r="E341">
        <v>652</v>
      </c>
      <c r="F341" s="1">
        <v>0.24310000000000001</v>
      </c>
      <c r="I341" s="1">
        <v>1.6E-2</v>
      </c>
      <c r="J341" s="1">
        <v>0.10580000000000001</v>
      </c>
      <c r="K341" s="1">
        <v>0.48530000000000001</v>
      </c>
      <c r="L341" s="1">
        <v>9.1800000000000007E-2</v>
      </c>
      <c r="M341" s="1">
        <v>1.34E-2</v>
      </c>
      <c r="N341" s="1">
        <v>3.3E-3</v>
      </c>
      <c r="O341" s="1">
        <v>0.1356</v>
      </c>
      <c r="R341" s="1">
        <v>6.2E-2</v>
      </c>
    </row>
    <row r="342" spans="1:18" s="29" customFormat="1" x14ac:dyDescent="0.25">
      <c r="A342" s="29" t="s">
        <v>198</v>
      </c>
      <c r="B342" s="29" t="s">
        <v>248</v>
      </c>
      <c r="C342" s="29">
        <v>5</v>
      </c>
      <c r="D342" s="29" t="s">
        <v>201</v>
      </c>
      <c r="E342" s="29">
        <v>652</v>
      </c>
      <c r="F342" s="30">
        <v>0.4834</v>
      </c>
      <c r="I342" s="30">
        <v>0.1794</v>
      </c>
      <c r="K342" s="30">
        <v>0.1794</v>
      </c>
      <c r="M342" s="30">
        <v>0.3372</v>
      </c>
      <c r="O342" s="30">
        <v>0.38390000000000002</v>
      </c>
    </row>
    <row r="343" spans="1:18" x14ac:dyDescent="0.25">
      <c r="A343" t="s">
        <v>198</v>
      </c>
      <c r="B343" t="s">
        <v>250</v>
      </c>
      <c r="C343">
        <v>33</v>
      </c>
      <c r="D343" t="s">
        <v>201</v>
      </c>
      <c r="E343">
        <v>652</v>
      </c>
      <c r="F343" s="1">
        <v>0.24079999999999999</v>
      </c>
      <c r="I343" s="1">
        <v>0.13009999999999999</v>
      </c>
      <c r="J343" s="1">
        <v>9.2999999999999999E-2</v>
      </c>
      <c r="K343" s="1">
        <v>0.18110000000000001</v>
      </c>
      <c r="L343" s="1">
        <v>8.1299999999999997E-2</v>
      </c>
      <c r="M343" s="1">
        <v>8.1299999999999997E-2</v>
      </c>
      <c r="O343" s="1">
        <v>0.2772</v>
      </c>
      <c r="R343" s="1">
        <v>0.16220000000000001</v>
      </c>
    </row>
    <row r="344" spans="1:18" x14ac:dyDescent="0.25">
      <c r="A344" t="s">
        <v>198</v>
      </c>
      <c r="B344" t="s">
        <v>251</v>
      </c>
      <c r="C344">
        <v>40</v>
      </c>
      <c r="D344" t="s">
        <v>201</v>
      </c>
      <c r="E344">
        <v>652</v>
      </c>
      <c r="F344" s="1">
        <v>1.7500000000000002E-2</v>
      </c>
      <c r="I344" s="1">
        <v>2.6499999999999999E-2</v>
      </c>
      <c r="J344" s="1">
        <v>6.3700000000000007E-2</v>
      </c>
      <c r="K344" s="1">
        <v>0.1651</v>
      </c>
      <c r="L344" s="1">
        <v>0.2261</v>
      </c>
      <c r="M344" s="1">
        <v>3.8300000000000001E-2</v>
      </c>
      <c r="N344" s="1">
        <v>0.18490000000000001</v>
      </c>
      <c r="O344" s="1">
        <v>0.52359999999999995</v>
      </c>
    </row>
    <row r="345" spans="1:18" s="29" customFormat="1" x14ac:dyDescent="0.25">
      <c r="A345" s="29" t="s">
        <v>198</v>
      </c>
      <c r="B345" s="29" t="s">
        <v>249</v>
      </c>
      <c r="C345" s="29">
        <v>12</v>
      </c>
      <c r="D345" s="29" t="s">
        <v>201</v>
      </c>
      <c r="E345" s="29">
        <v>652</v>
      </c>
      <c r="K345" s="30">
        <v>0.14149999999999999</v>
      </c>
      <c r="L345" s="30">
        <v>0.24590000000000001</v>
      </c>
      <c r="M345" s="30">
        <v>0.30880000000000002</v>
      </c>
      <c r="N345" s="30">
        <v>0.36120000000000002</v>
      </c>
      <c r="O345" s="30">
        <v>0.1885</v>
      </c>
    </row>
    <row r="346" spans="1:18" s="29" customFormat="1" x14ac:dyDescent="0.25">
      <c r="A346" s="29" t="s">
        <v>198</v>
      </c>
      <c r="B346" s="29" t="s">
        <v>248</v>
      </c>
      <c r="C346" s="29">
        <v>5</v>
      </c>
      <c r="D346" s="29" t="s">
        <v>202</v>
      </c>
      <c r="E346" s="29">
        <v>652</v>
      </c>
      <c r="F346" s="30">
        <v>0.34310000000000002</v>
      </c>
      <c r="I346" s="30">
        <v>5.7000000000000002E-2</v>
      </c>
      <c r="K346" s="30">
        <v>0.4199</v>
      </c>
      <c r="N346" s="30">
        <v>0.1799</v>
      </c>
      <c r="O346" s="30">
        <v>5.7000000000000002E-2</v>
      </c>
    </row>
    <row r="347" spans="1:18" s="29" customFormat="1" x14ac:dyDescent="0.25">
      <c r="A347" s="29" t="s">
        <v>198</v>
      </c>
      <c r="B347" s="29" t="s">
        <v>250</v>
      </c>
      <c r="C347" s="29">
        <v>9</v>
      </c>
      <c r="D347" s="29" t="s">
        <v>202</v>
      </c>
      <c r="E347" s="29">
        <v>652</v>
      </c>
      <c r="F347" s="30">
        <v>9.9199999999999997E-2</v>
      </c>
      <c r="K347" s="30">
        <v>0.2316</v>
      </c>
      <c r="L347" s="30">
        <v>0.2316</v>
      </c>
      <c r="O347" s="30">
        <v>0.59970000000000001</v>
      </c>
    </row>
    <row r="348" spans="1:18" s="29" customFormat="1" x14ac:dyDescent="0.25">
      <c r="A348" s="29" t="s">
        <v>198</v>
      </c>
      <c r="B348" s="29" t="s">
        <v>251</v>
      </c>
      <c r="C348" s="29">
        <v>13</v>
      </c>
      <c r="D348" s="29" t="s">
        <v>202</v>
      </c>
      <c r="E348" s="29">
        <v>652</v>
      </c>
      <c r="F348" s="30">
        <v>9.7199999999999995E-2</v>
      </c>
      <c r="I348" s="30">
        <v>0.16700000000000001</v>
      </c>
      <c r="K348" s="30">
        <v>0.32750000000000001</v>
      </c>
      <c r="L348" s="30">
        <v>0.1205</v>
      </c>
      <c r="M348" s="30">
        <v>0.29609999999999997</v>
      </c>
      <c r="N348" s="30">
        <v>1.5299999999999999E-2</v>
      </c>
      <c r="O348" s="30">
        <v>0.3498</v>
      </c>
    </row>
    <row r="349" spans="1:18" s="29" customFormat="1" x14ac:dyDescent="0.25">
      <c r="A349" s="29" t="s">
        <v>198</v>
      </c>
      <c r="B349" s="29" t="s">
        <v>249</v>
      </c>
      <c r="C349" s="29">
        <v>5</v>
      </c>
      <c r="D349" s="29" t="s">
        <v>202</v>
      </c>
      <c r="E349" s="29">
        <v>652</v>
      </c>
      <c r="I349" s="30">
        <v>0.19839999999999999</v>
      </c>
      <c r="O349" s="30">
        <v>0.68510000000000004</v>
      </c>
      <c r="P349" s="30">
        <v>0.1166</v>
      </c>
    </row>
    <row r="350" spans="1:18" s="29" customFormat="1" x14ac:dyDescent="0.25">
      <c r="A350" s="29" t="s">
        <v>203</v>
      </c>
      <c r="B350" s="29" t="s">
        <v>248</v>
      </c>
      <c r="C350" s="29">
        <v>8</v>
      </c>
      <c r="D350" s="29" t="s">
        <v>199</v>
      </c>
      <c r="E350" s="29">
        <v>652</v>
      </c>
      <c r="F350" s="30">
        <v>0.36020000000000002</v>
      </c>
      <c r="H350" s="30">
        <v>0.55459999999999998</v>
      </c>
      <c r="K350" s="30">
        <v>0.18959999999999999</v>
      </c>
      <c r="L350" s="30">
        <v>0.61299999999999999</v>
      </c>
      <c r="M350" s="30">
        <v>0.55459999999999998</v>
      </c>
      <c r="O350" s="30">
        <v>6.1999999999999998E-3</v>
      </c>
      <c r="R350" s="30">
        <v>6.1999999999999998E-3</v>
      </c>
    </row>
    <row r="351" spans="1:18" x14ac:dyDescent="0.25">
      <c r="A351" t="s">
        <v>203</v>
      </c>
      <c r="B351" t="s">
        <v>250</v>
      </c>
      <c r="C351">
        <v>39</v>
      </c>
      <c r="D351" t="s">
        <v>199</v>
      </c>
      <c r="E351">
        <v>652</v>
      </c>
      <c r="F351" s="1">
        <v>0.19439999999999999</v>
      </c>
      <c r="I351" s="1">
        <v>1.8499999999999999E-2</v>
      </c>
      <c r="J351" s="1">
        <v>1.09E-2</v>
      </c>
      <c r="K351" s="1">
        <v>0.2006</v>
      </c>
      <c r="L351" s="1">
        <v>5.11E-2</v>
      </c>
      <c r="M351" s="1">
        <v>1.12E-2</v>
      </c>
      <c r="N351" s="1">
        <v>1.06E-2</v>
      </c>
      <c r="O351" s="1">
        <v>0.46460000000000001</v>
      </c>
      <c r="P351" s="1">
        <v>8.8999999999999999E-3</v>
      </c>
      <c r="R351" s="1">
        <v>0.16520000000000001</v>
      </c>
    </row>
    <row r="352" spans="1:18" s="29" customFormat="1" x14ac:dyDescent="0.25">
      <c r="A352" s="29" t="s">
        <v>203</v>
      </c>
      <c r="B352" s="29" t="s">
        <v>249</v>
      </c>
      <c r="C352" s="29">
        <v>24</v>
      </c>
      <c r="D352" s="29" t="s">
        <v>199</v>
      </c>
      <c r="E352" s="29">
        <v>652</v>
      </c>
      <c r="F352" s="30">
        <v>0.2311</v>
      </c>
      <c r="I352" s="30">
        <v>0.2641</v>
      </c>
      <c r="K352" s="30">
        <v>0.1208</v>
      </c>
      <c r="L352" s="30">
        <v>0.2833</v>
      </c>
      <c r="M352" s="30">
        <v>5.7999999999999996E-3</v>
      </c>
      <c r="N352" s="30">
        <v>3.2899999999999999E-2</v>
      </c>
      <c r="O352" s="30">
        <v>0.75829999999999997</v>
      </c>
      <c r="P352" s="30">
        <v>1.38E-2</v>
      </c>
    </row>
    <row r="353" spans="1:18" x14ac:dyDescent="0.25">
      <c r="A353" t="s">
        <v>203</v>
      </c>
      <c r="B353" t="s">
        <v>251</v>
      </c>
      <c r="C353">
        <v>65</v>
      </c>
      <c r="D353" t="s">
        <v>199</v>
      </c>
      <c r="E353">
        <v>652</v>
      </c>
      <c r="F353" s="1">
        <v>2.9499999999999998E-2</v>
      </c>
      <c r="I353" s="1">
        <v>2.0199999999999999E-2</v>
      </c>
      <c r="J353" s="1">
        <v>7.1000000000000004E-3</v>
      </c>
      <c r="K353" s="1">
        <v>0.2417</v>
      </c>
      <c r="L353" s="1">
        <v>0.23760000000000001</v>
      </c>
      <c r="M353" s="1">
        <v>5.8599999999999999E-2</v>
      </c>
      <c r="N353" s="1">
        <v>7.1300000000000002E-2</v>
      </c>
      <c r="O353" s="1">
        <v>0.70309999999999995</v>
      </c>
      <c r="P353" s="1">
        <v>8.0999999999999996E-3</v>
      </c>
      <c r="R353" s="1">
        <v>1.47E-2</v>
      </c>
    </row>
    <row r="354" spans="1:18" s="29" customFormat="1" x14ac:dyDescent="0.25">
      <c r="A354" s="29" t="s">
        <v>203</v>
      </c>
      <c r="B354" s="29" t="s">
        <v>251</v>
      </c>
      <c r="C354" s="29">
        <v>27</v>
      </c>
      <c r="D354" s="29" t="s">
        <v>200</v>
      </c>
      <c r="E354" s="29">
        <v>652</v>
      </c>
      <c r="F354" s="30">
        <v>1.1000000000000001E-3</v>
      </c>
      <c r="I354" s="30">
        <v>1.84E-2</v>
      </c>
      <c r="J354" s="30">
        <v>0.19989999999999999</v>
      </c>
      <c r="K354" s="30">
        <v>0.24160000000000001</v>
      </c>
      <c r="L354" s="30">
        <v>0.24460000000000001</v>
      </c>
      <c r="M354" s="30">
        <v>5.6599999999999998E-2</v>
      </c>
      <c r="N354" s="30">
        <v>9.2999999999999992E-3</v>
      </c>
      <c r="O354" s="30">
        <v>0.67290000000000005</v>
      </c>
      <c r="R354" s="30">
        <v>2.2000000000000001E-3</v>
      </c>
    </row>
    <row r="355" spans="1:18" s="29" customFormat="1" x14ac:dyDescent="0.25">
      <c r="A355" s="29" t="s">
        <v>203</v>
      </c>
      <c r="B355" s="29" t="s">
        <v>250</v>
      </c>
      <c r="C355" s="29">
        <v>19</v>
      </c>
      <c r="D355" s="29" t="s">
        <v>200</v>
      </c>
      <c r="E355" s="29">
        <v>652</v>
      </c>
      <c r="F355" s="30">
        <v>0.3634</v>
      </c>
      <c r="H355" s="30">
        <v>6.13E-2</v>
      </c>
      <c r="I355" s="30">
        <v>2.8E-3</v>
      </c>
      <c r="K355" s="30">
        <v>0.42959999999999998</v>
      </c>
      <c r="L355" s="30">
        <v>7.4300000000000005E-2</v>
      </c>
      <c r="N355" s="30">
        <v>6.9800000000000001E-2</v>
      </c>
      <c r="O355" s="30">
        <v>0.19570000000000001</v>
      </c>
    </row>
    <row r="356" spans="1:18" s="29" customFormat="1" x14ac:dyDescent="0.25">
      <c r="A356" s="29" t="s">
        <v>203</v>
      </c>
      <c r="B356" s="29" t="s">
        <v>248</v>
      </c>
      <c r="C356" s="29">
        <v>4</v>
      </c>
      <c r="D356" s="29" t="s">
        <v>200</v>
      </c>
      <c r="E356" s="29">
        <v>652</v>
      </c>
      <c r="K356" s="30">
        <v>0.51900000000000002</v>
      </c>
      <c r="L356" s="30">
        <v>0.6411</v>
      </c>
    </row>
    <row r="357" spans="1:18" s="29" customFormat="1" x14ac:dyDescent="0.25">
      <c r="A357" s="29" t="s">
        <v>203</v>
      </c>
      <c r="B357" s="29" t="s">
        <v>249</v>
      </c>
      <c r="C357" s="29">
        <v>18</v>
      </c>
      <c r="D357" s="29" t="s">
        <v>200</v>
      </c>
      <c r="E357" s="29">
        <v>652</v>
      </c>
      <c r="I357" s="30">
        <v>7.4399999999999994E-2</v>
      </c>
      <c r="J357" s="30">
        <v>0.16089999999999999</v>
      </c>
      <c r="K357" s="30">
        <v>2E-3</v>
      </c>
      <c r="L357" s="30">
        <v>0.58299999999999996</v>
      </c>
      <c r="M357" s="30">
        <v>0.16089999999999999</v>
      </c>
      <c r="N357" s="30">
        <v>4.0500000000000001E-2</v>
      </c>
      <c r="O357" s="30">
        <v>0.4093</v>
      </c>
    </row>
    <row r="358" spans="1:18" x14ac:dyDescent="0.25">
      <c r="A358" t="s">
        <v>203</v>
      </c>
      <c r="B358" t="s">
        <v>250</v>
      </c>
      <c r="C358">
        <v>30</v>
      </c>
      <c r="D358" t="s">
        <v>201</v>
      </c>
      <c r="E358">
        <v>652</v>
      </c>
      <c r="F358" s="1">
        <v>2.6599999999999999E-2</v>
      </c>
      <c r="H358" s="1">
        <v>0.1595</v>
      </c>
      <c r="J358" s="1">
        <v>4.4999999999999997E-3</v>
      </c>
      <c r="K358" s="1">
        <v>0.74709999999999999</v>
      </c>
      <c r="L358" s="1">
        <v>0.19059999999999999</v>
      </c>
      <c r="M358" s="1">
        <v>0.1595</v>
      </c>
      <c r="N358" s="1">
        <v>4.4999999999999997E-3</v>
      </c>
      <c r="O358" s="1">
        <v>0.34570000000000001</v>
      </c>
      <c r="P358" s="1">
        <v>2.6599999999999999E-2</v>
      </c>
      <c r="R358" s="1">
        <v>0.1053</v>
      </c>
    </row>
    <row r="359" spans="1:18" x14ac:dyDescent="0.25">
      <c r="A359" t="s">
        <v>203</v>
      </c>
      <c r="B359" t="s">
        <v>251</v>
      </c>
      <c r="C359">
        <v>31</v>
      </c>
      <c r="D359" t="s">
        <v>201</v>
      </c>
      <c r="E359">
        <v>652</v>
      </c>
      <c r="I359" s="1">
        <v>6.9199999999999998E-2</v>
      </c>
      <c r="J359" s="1">
        <v>0.1113</v>
      </c>
      <c r="K359" s="1">
        <v>0.3075</v>
      </c>
      <c r="L359" s="1">
        <v>0.22259999999999999</v>
      </c>
      <c r="M359" s="1">
        <v>0.18260000000000001</v>
      </c>
      <c r="N359" s="1">
        <v>6.3E-3</v>
      </c>
      <c r="O359" s="1">
        <v>0.67589999999999995</v>
      </c>
      <c r="P359" s="1">
        <v>1.8599999999999998E-2</v>
      </c>
    </row>
    <row r="360" spans="1:18" s="29" customFormat="1" x14ac:dyDescent="0.25">
      <c r="A360" s="29" t="s">
        <v>203</v>
      </c>
      <c r="B360" s="29" t="s">
        <v>248</v>
      </c>
      <c r="C360" s="29">
        <v>4</v>
      </c>
      <c r="D360" s="29" t="s">
        <v>201</v>
      </c>
      <c r="E360" s="29">
        <v>652</v>
      </c>
      <c r="K360" s="30">
        <v>0.1595</v>
      </c>
      <c r="L360" s="30">
        <v>0.81740000000000002</v>
      </c>
      <c r="O360" s="30">
        <v>0.81740000000000002</v>
      </c>
      <c r="P360" s="30">
        <v>0.13639999999999999</v>
      </c>
      <c r="R360" s="30">
        <v>0.84050000000000002</v>
      </c>
    </row>
    <row r="361" spans="1:18" s="29" customFormat="1" x14ac:dyDescent="0.25">
      <c r="A361" s="29" t="s">
        <v>203</v>
      </c>
      <c r="B361" s="29" t="s">
        <v>249</v>
      </c>
      <c r="C361" s="29">
        <v>14</v>
      </c>
      <c r="D361" s="29" t="s">
        <v>201</v>
      </c>
      <c r="E361" s="29">
        <v>652</v>
      </c>
      <c r="F361" s="30">
        <v>0.47799999999999998</v>
      </c>
      <c r="I361" s="30">
        <v>0.04</v>
      </c>
      <c r="J361" s="30">
        <v>2.4799999999999999E-2</v>
      </c>
      <c r="K361" s="30">
        <v>0.1038</v>
      </c>
      <c r="L361" s="30">
        <v>0.7994</v>
      </c>
      <c r="M361" s="30">
        <v>4.8399999999999999E-2</v>
      </c>
      <c r="N361" s="30">
        <v>4.1999999999999997E-3</v>
      </c>
      <c r="O361" s="30">
        <v>0.34089999999999998</v>
      </c>
      <c r="P361" s="30">
        <v>2.4799999999999999E-2</v>
      </c>
    </row>
    <row r="362" spans="1:18" s="29" customFormat="1" x14ac:dyDescent="0.25">
      <c r="A362" s="29" t="s">
        <v>203</v>
      </c>
      <c r="B362" s="29" t="s">
        <v>251</v>
      </c>
      <c r="C362" s="29">
        <v>11</v>
      </c>
      <c r="D362" s="29" t="s">
        <v>202</v>
      </c>
      <c r="E362" s="29">
        <v>652</v>
      </c>
      <c r="F362" s="30">
        <v>3.8899999999999997E-2</v>
      </c>
      <c r="I362" s="30">
        <v>0.1303</v>
      </c>
      <c r="J362" s="30">
        <v>9.1399999999999995E-2</v>
      </c>
      <c r="K362" s="30">
        <v>0.49780000000000002</v>
      </c>
      <c r="L362" s="30">
        <v>0.19259999999999999</v>
      </c>
      <c r="M362" s="30">
        <v>0.23139999999999999</v>
      </c>
      <c r="N362" s="30">
        <v>3.8899999999999997E-2</v>
      </c>
      <c r="O362" s="30">
        <v>0.35420000000000001</v>
      </c>
    </row>
    <row r="363" spans="1:18" s="29" customFormat="1" x14ac:dyDescent="0.25">
      <c r="A363" s="29" t="s">
        <v>203</v>
      </c>
      <c r="B363" s="29" t="s">
        <v>249</v>
      </c>
      <c r="C363" s="29">
        <v>7</v>
      </c>
      <c r="D363" s="29" t="s">
        <v>202</v>
      </c>
      <c r="E363" s="29">
        <v>652</v>
      </c>
      <c r="F363" s="30">
        <v>0.1598</v>
      </c>
      <c r="L363" s="30">
        <v>0.69779999999999998</v>
      </c>
      <c r="O363" s="30">
        <v>0.63549999999999995</v>
      </c>
      <c r="R363" s="30">
        <v>0.1077</v>
      </c>
    </row>
    <row r="364" spans="1:18" s="29" customFormat="1" x14ac:dyDescent="0.25">
      <c r="A364" s="29" t="s">
        <v>203</v>
      </c>
      <c r="B364" s="29" t="s">
        <v>250</v>
      </c>
      <c r="C364" s="29">
        <v>7</v>
      </c>
      <c r="D364" s="29" t="s">
        <v>202</v>
      </c>
      <c r="E364" s="29">
        <v>652</v>
      </c>
      <c r="H364" s="30">
        <v>0.25419999999999998</v>
      </c>
      <c r="K364" s="30">
        <v>0.7228</v>
      </c>
      <c r="L364" s="30">
        <v>9.3399999999999997E-2</v>
      </c>
      <c r="M364" s="30">
        <v>0.11169999999999999</v>
      </c>
      <c r="O364" s="30">
        <v>0.32929999999999998</v>
      </c>
      <c r="R364" s="30">
        <v>0.11169999999999999</v>
      </c>
    </row>
    <row r="365" spans="1:18" x14ac:dyDescent="0.25">
      <c r="A365" t="s">
        <v>204</v>
      </c>
      <c r="B365" t="s">
        <v>204</v>
      </c>
      <c r="C365">
        <v>652</v>
      </c>
      <c r="D365" t="s">
        <v>204</v>
      </c>
      <c r="E365">
        <v>652</v>
      </c>
      <c r="F365" s="1">
        <v>9.1800000000000007E-2</v>
      </c>
      <c r="G365" s="1">
        <v>2E-3</v>
      </c>
      <c r="H365" s="1">
        <v>1.1599999999999999E-2</v>
      </c>
      <c r="I365" s="1">
        <v>5.4100000000000002E-2</v>
      </c>
      <c r="J365" s="1">
        <v>4.6399999999999997E-2</v>
      </c>
      <c r="K365" s="1">
        <v>0.2601</v>
      </c>
      <c r="L365" s="1">
        <v>0.24970000000000001</v>
      </c>
      <c r="M365" s="1">
        <v>0.1119</v>
      </c>
      <c r="N365" s="1">
        <v>6.2399999999999997E-2</v>
      </c>
      <c r="O365" s="1">
        <v>0.44990000000000002</v>
      </c>
      <c r="P365" s="1">
        <v>7.1000000000000004E-3</v>
      </c>
      <c r="Q365" s="1">
        <v>2.5000000000000001E-3</v>
      </c>
      <c r="R365" s="1">
        <v>4.0599999999999997E-2</v>
      </c>
    </row>
    <row r="367" spans="1:18" x14ac:dyDescent="0.25">
      <c r="A367" t="s">
        <v>275</v>
      </c>
    </row>
    <row r="368" spans="1:18" x14ac:dyDescent="0.25">
      <c r="A368" t="s">
        <v>190</v>
      </c>
      <c r="B368" t="s">
        <v>206</v>
      </c>
      <c r="C368" t="s">
        <v>195</v>
      </c>
      <c r="D368" t="s">
        <v>189</v>
      </c>
      <c r="E368" t="s">
        <v>196</v>
      </c>
      <c r="F368" t="s">
        <v>264</v>
      </c>
      <c r="G368" t="s">
        <v>220</v>
      </c>
      <c r="H368" t="s">
        <v>265</v>
      </c>
      <c r="I368" t="s">
        <v>266</v>
      </c>
      <c r="J368" t="s">
        <v>267</v>
      </c>
      <c r="K368" t="s">
        <v>268</v>
      </c>
      <c r="L368" t="s">
        <v>269</v>
      </c>
      <c r="M368" t="s">
        <v>270</v>
      </c>
      <c r="N368" t="s">
        <v>271</v>
      </c>
      <c r="O368" t="s">
        <v>272</v>
      </c>
      <c r="P368" t="s">
        <v>235</v>
      </c>
      <c r="Q368" t="s">
        <v>215</v>
      </c>
      <c r="R368" t="s">
        <v>273</v>
      </c>
    </row>
    <row r="369" spans="1:18" s="29" customFormat="1" x14ac:dyDescent="0.25">
      <c r="A369" s="29" t="s">
        <v>198</v>
      </c>
      <c r="B369" s="29" t="s">
        <v>253</v>
      </c>
      <c r="C369" s="29">
        <v>9</v>
      </c>
      <c r="D369" s="29" t="s">
        <v>197</v>
      </c>
      <c r="E369" s="29">
        <v>652</v>
      </c>
      <c r="F369" s="30">
        <v>0.13700000000000001</v>
      </c>
      <c r="K369" s="30">
        <v>7.46E-2</v>
      </c>
      <c r="L369" s="30">
        <v>0.29449999999999998</v>
      </c>
      <c r="N369" s="30">
        <v>0.11</v>
      </c>
      <c r="O369" s="30">
        <v>0.39610000000000001</v>
      </c>
      <c r="R369" s="30">
        <v>0.247</v>
      </c>
    </row>
    <row r="370" spans="1:18" s="29" customFormat="1" x14ac:dyDescent="0.25">
      <c r="A370" s="29" t="s">
        <v>198</v>
      </c>
      <c r="B370" s="29" t="s">
        <v>254</v>
      </c>
      <c r="C370" s="29">
        <v>19</v>
      </c>
      <c r="D370" s="29" t="s">
        <v>197</v>
      </c>
      <c r="E370" s="29">
        <v>652</v>
      </c>
      <c r="F370" s="30">
        <v>8.2000000000000003E-2</v>
      </c>
      <c r="I370" s="30">
        <v>0.10979999999999999</v>
      </c>
      <c r="K370" s="30">
        <v>0.44769999999999999</v>
      </c>
      <c r="L370" s="30">
        <v>0.22120000000000001</v>
      </c>
      <c r="M370" s="30">
        <v>0.1429</v>
      </c>
      <c r="N370" s="30">
        <v>0.10979999999999999</v>
      </c>
      <c r="O370" s="30">
        <v>0.22489999999999999</v>
      </c>
      <c r="R370" s="30">
        <v>9.2100000000000001E-2</v>
      </c>
    </row>
    <row r="371" spans="1:18" x14ac:dyDescent="0.25">
      <c r="A371" t="s">
        <v>198</v>
      </c>
      <c r="B371" t="s">
        <v>254</v>
      </c>
      <c r="C371">
        <v>63</v>
      </c>
      <c r="D371" t="s">
        <v>199</v>
      </c>
      <c r="E371">
        <v>652</v>
      </c>
      <c r="F371" s="1">
        <v>3.6700000000000003E-2</v>
      </c>
      <c r="G371" s="1">
        <v>1.41E-2</v>
      </c>
      <c r="I371" s="1">
        <v>1.8E-3</v>
      </c>
      <c r="K371" s="1">
        <v>0.32200000000000001</v>
      </c>
      <c r="L371" s="1">
        <v>0.47239999999999999</v>
      </c>
      <c r="M371" s="1">
        <v>0.17369999999999999</v>
      </c>
      <c r="N371" s="1">
        <v>5.9499999999999997E-2</v>
      </c>
      <c r="O371" s="1">
        <v>0.61729999999999996</v>
      </c>
      <c r="P371" s="1">
        <v>1.01E-2</v>
      </c>
      <c r="R371" s="1">
        <v>1.1599999999999999E-2</v>
      </c>
    </row>
    <row r="372" spans="1:18" s="29" customFormat="1" x14ac:dyDescent="0.25">
      <c r="A372" s="29" t="s">
        <v>198</v>
      </c>
      <c r="B372" s="29" t="s">
        <v>253</v>
      </c>
      <c r="C372" s="29">
        <v>29</v>
      </c>
      <c r="D372" s="29" t="s">
        <v>199</v>
      </c>
      <c r="E372" s="29">
        <v>652</v>
      </c>
      <c r="G372" s="30">
        <v>1.55E-2</v>
      </c>
      <c r="I372" s="30">
        <v>7.1000000000000004E-3</v>
      </c>
      <c r="J372" s="30">
        <v>9.1800000000000007E-2</v>
      </c>
      <c r="K372" s="30">
        <v>0.43319999999999997</v>
      </c>
      <c r="L372" s="30">
        <v>6.5199999999999994E-2</v>
      </c>
      <c r="M372" s="30">
        <v>8.9700000000000002E-2</v>
      </c>
      <c r="N372" s="30">
        <v>3.8399999999999997E-2</v>
      </c>
      <c r="O372" s="30">
        <v>0.54259999999999997</v>
      </c>
      <c r="R372" s="30">
        <v>2.3599999999999999E-2</v>
      </c>
    </row>
    <row r="373" spans="1:18" x14ac:dyDescent="0.25">
      <c r="A373" t="s">
        <v>198</v>
      </c>
      <c r="B373" t="s">
        <v>254</v>
      </c>
      <c r="C373">
        <v>63</v>
      </c>
      <c r="D373" t="s">
        <v>200</v>
      </c>
      <c r="E373">
        <v>652</v>
      </c>
      <c r="F373" s="1">
        <v>0.10150000000000001</v>
      </c>
      <c r="I373" s="1">
        <v>1.34E-2</v>
      </c>
      <c r="J373" s="1">
        <v>3.73E-2</v>
      </c>
      <c r="K373" s="1">
        <v>0.25580000000000003</v>
      </c>
      <c r="L373" s="1">
        <v>8.0500000000000002E-2</v>
      </c>
      <c r="M373" s="1">
        <v>0.2472</v>
      </c>
      <c r="N373" s="1">
        <v>8.1000000000000003E-2</v>
      </c>
      <c r="O373" s="1">
        <v>0.32879999999999998</v>
      </c>
      <c r="R373" s="1">
        <v>6.9699999999999998E-2</v>
      </c>
    </row>
    <row r="374" spans="1:18" x14ac:dyDescent="0.25">
      <c r="A374" t="s">
        <v>198</v>
      </c>
      <c r="B374" t="s">
        <v>253</v>
      </c>
      <c r="C374">
        <v>39</v>
      </c>
      <c r="D374" t="s">
        <v>200</v>
      </c>
      <c r="E374">
        <v>652</v>
      </c>
      <c r="F374" s="1">
        <v>0.1467</v>
      </c>
      <c r="I374" s="1">
        <v>4.7800000000000002E-2</v>
      </c>
      <c r="J374" s="1">
        <v>6.6799999999999998E-2</v>
      </c>
      <c r="K374" s="1">
        <v>0.3004</v>
      </c>
      <c r="L374" s="1">
        <v>0.20899999999999999</v>
      </c>
      <c r="N374" s="1">
        <v>0.17610000000000001</v>
      </c>
      <c r="O374" s="1">
        <v>0.1757</v>
      </c>
      <c r="Q374" s="1">
        <v>4.41E-2</v>
      </c>
      <c r="R374" s="1">
        <v>7.7200000000000005E-2</v>
      </c>
    </row>
    <row r="375" spans="1:18" s="29" customFormat="1" x14ac:dyDescent="0.25">
      <c r="A375" s="29" t="s">
        <v>198</v>
      </c>
      <c r="B375" s="29" t="s">
        <v>215</v>
      </c>
      <c r="C375" s="29">
        <v>1</v>
      </c>
      <c r="D375" s="29" t="s">
        <v>201</v>
      </c>
      <c r="E375" s="29">
        <v>652</v>
      </c>
      <c r="K375" s="30">
        <v>1</v>
      </c>
    </row>
    <row r="376" spans="1:18" x14ac:dyDescent="0.25">
      <c r="A376" t="s">
        <v>198</v>
      </c>
      <c r="B376" t="s">
        <v>254</v>
      </c>
      <c r="C376">
        <v>61</v>
      </c>
      <c r="D376" t="s">
        <v>201</v>
      </c>
      <c r="E376">
        <v>652</v>
      </c>
      <c r="F376" s="1">
        <v>0.10589999999999999</v>
      </c>
      <c r="I376" s="1">
        <v>9.1300000000000006E-2</v>
      </c>
      <c r="J376" s="1">
        <v>1.61E-2</v>
      </c>
      <c r="K376" s="1">
        <v>0.12720000000000001</v>
      </c>
      <c r="L376" s="1">
        <v>0.1701</v>
      </c>
      <c r="M376" s="1">
        <v>0.1381</v>
      </c>
      <c r="N376" s="1">
        <v>0.1183</v>
      </c>
      <c r="O376" s="1">
        <v>0.42109999999999997</v>
      </c>
      <c r="R376" s="1">
        <v>1.83E-2</v>
      </c>
    </row>
    <row r="377" spans="1:18" s="29" customFormat="1" x14ac:dyDescent="0.25">
      <c r="A377" s="29" t="s">
        <v>198</v>
      </c>
      <c r="B377" s="29" t="s">
        <v>253</v>
      </c>
      <c r="C377" s="29">
        <v>28</v>
      </c>
      <c r="D377" s="29" t="s">
        <v>201</v>
      </c>
      <c r="E377" s="29">
        <v>652</v>
      </c>
      <c r="F377" s="30">
        <v>0.1143</v>
      </c>
      <c r="I377" s="30">
        <v>8.6999999999999994E-3</v>
      </c>
      <c r="J377" s="30">
        <v>0.13469999999999999</v>
      </c>
      <c r="K377" s="30">
        <v>0.23749999999999999</v>
      </c>
      <c r="L377" s="30">
        <v>0.17929999999999999</v>
      </c>
      <c r="M377" s="30">
        <v>6.25E-2</v>
      </c>
      <c r="N377" s="30">
        <v>0.19980000000000001</v>
      </c>
      <c r="O377" s="30">
        <v>0.3448</v>
      </c>
      <c r="R377" s="30">
        <v>9.6500000000000002E-2</v>
      </c>
    </row>
    <row r="378" spans="1:18" s="29" customFormat="1" x14ac:dyDescent="0.25">
      <c r="A378" s="29" t="s">
        <v>198</v>
      </c>
      <c r="B378" s="29" t="s">
        <v>254</v>
      </c>
      <c r="C378" s="29">
        <v>23</v>
      </c>
      <c r="D378" s="29" t="s">
        <v>202</v>
      </c>
      <c r="E378" s="29">
        <v>652</v>
      </c>
      <c r="F378" s="30">
        <v>0.10340000000000001</v>
      </c>
      <c r="I378" s="30">
        <v>0.16619999999999999</v>
      </c>
      <c r="K378" s="30">
        <v>0.20399999999999999</v>
      </c>
      <c r="L378" s="30">
        <v>0.1046</v>
      </c>
      <c r="M378" s="30">
        <v>0.1671</v>
      </c>
      <c r="O378" s="30">
        <v>0.45200000000000001</v>
      </c>
      <c r="P378" s="30">
        <v>3.4000000000000002E-2</v>
      </c>
    </row>
    <row r="379" spans="1:18" s="29" customFormat="1" x14ac:dyDescent="0.25">
      <c r="A379" s="29" t="s">
        <v>198</v>
      </c>
      <c r="B379" s="29" t="s">
        <v>253</v>
      </c>
      <c r="C379" s="29">
        <v>9</v>
      </c>
      <c r="D379" s="29" t="s">
        <v>202</v>
      </c>
      <c r="E379" s="29">
        <v>652</v>
      </c>
      <c r="F379" s="30">
        <v>0.1129</v>
      </c>
      <c r="K379" s="30">
        <v>0.37290000000000001</v>
      </c>
      <c r="L379" s="30">
        <v>0.1016</v>
      </c>
      <c r="M379" s="30">
        <v>2.7199999999999998E-2</v>
      </c>
      <c r="N379" s="30">
        <v>0.1129</v>
      </c>
      <c r="O379" s="30">
        <v>0.41260000000000002</v>
      </c>
    </row>
    <row r="380" spans="1:18" x14ac:dyDescent="0.25">
      <c r="A380" t="s">
        <v>203</v>
      </c>
      <c r="B380" t="s">
        <v>253</v>
      </c>
      <c r="C380">
        <v>56</v>
      </c>
      <c r="D380" t="s">
        <v>199</v>
      </c>
      <c r="E380">
        <v>652</v>
      </c>
      <c r="F380" s="1">
        <v>2.81E-2</v>
      </c>
      <c r="I380" s="1">
        <v>1.9400000000000001E-2</v>
      </c>
      <c r="J380" s="1">
        <v>2.2599999999999999E-2</v>
      </c>
      <c r="K380" s="1">
        <v>0.21959999999999999</v>
      </c>
      <c r="L380" s="1">
        <v>0.2288</v>
      </c>
      <c r="N380" s="1">
        <v>2.6499999999999999E-2</v>
      </c>
      <c r="O380" s="1">
        <v>0.65129999999999999</v>
      </c>
      <c r="P380" s="1">
        <v>7.6E-3</v>
      </c>
      <c r="R380" s="1">
        <v>3.6700000000000003E-2</v>
      </c>
    </row>
    <row r="381" spans="1:18" x14ac:dyDescent="0.25">
      <c r="A381" t="s">
        <v>203</v>
      </c>
      <c r="B381" t="s">
        <v>254</v>
      </c>
      <c r="C381">
        <v>80</v>
      </c>
      <c r="D381" t="s">
        <v>199</v>
      </c>
      <c r="E381">
        <v>652</v>
      </c>
      <c r="F381" s="1">
        <v>0.16009999999999999</v>
      </c>
      <c r="H381" s="1">
        <v>5.04E-2</v>
      </c>
      <c r="I381" s="1">
        <v>7.1400000000000005E-2</v>
      </c>
      <c r="K381" s="1">
        <v>0.2054</v>
      </c>
      <c r="L381" s="1">
        <v>0.222</v>
      </c>
      <c r="M381" s="1">
        <v>9.9500000000000005E-2</v>
      </c>
      <c r="N381" s="1">
        <v>5.3699999999999998E-2</v>
      </c>
      <c r="O381" s="1">
        <v>0.59160000000000001</v>
      </c>
      <c r="P381" s="1">
        <v>9.1000000000000004E-3</v>
      </c>
      <c r="R381" s="1">
        <v>5.2999999999999999E-2</v>
      </c>
    </row>
    <row r="382" spans="1:18" s="29" customFormat="1" x14ac:dyDescent="0.25">
      <c r="A382" s="29" t="s">
        <v>203</v>
      </c>
      <c r="B382" s="29" t="s">
        <v>253</v>
      </c>
      <c r="C382" s="29">
        <v>22</v>
      </c>
      <c r="D382" s="29" t="s">
        <v>200</v>
      </c>
      <c r="E382" s="29">
        <v>652</v>
      </c>
      <c r="I382" s="30">
        <v>1.3299999999999999E-2</v>
      </c>
      <c r="J382" s="30">
        <v>0.39100000000000001</v>
      </c>
      <c r="K382" s="30">
        <v>0.309</v>
      </c>
      <c r="L382" s="30">
        <v>0.47349999999999998</v>
      </c>
      <c r="M382" s="30">
        <v>1.1999999999999999E-3</v>
      </c>
      <c r="O382" s="30">
        <v>0.42530000000000001</v>
      </c>
      <c r="R382" s="30">
        <v>1.1999999999999999E-3</v>
      </c>
    </row>
    <row r="383" spans="1:18" x14ac:dyDescent="0.25">
      <c r="A383" t="s">
        <v>203</v>
      </c>
      <c r="B383" t="s">
        <v>254</v>
      </c>
      <c r="C383">
        <v>46</v>
      </c>
      <c r="D383" t="s">
        <v>200</v>
      </c>
      <c r="E383">
        <v>652</v>
      </c>
      <c r="F383" s="1">
        <v>0.10730000000000001</v>
      </c>
      <c r="H383" s="1">
        <v>1.7999999999999999E-2</v>
      </c>
      <c r="I383" s="1">
        <v>5.1200000000000002E-2</v>
      </c>
      <c r="K383" s="1">
        <v>0.11840000000000001</v>
      </c>
      <c r="L383" s="1">
        <v>0.29089999999999999</v>
      </c>
      <c r="M383" s="1">
        <v>0.13489999999999999</v>
      </c>
      <c r="N383" s="1">
        <v>5.1499999999999997E-2</v>
      </c>
      <c r="O383" s="1">
        <v>0.4839</v>
      </c>
      <c r="R383" s="1">
        <v>6.9999999999999999E-4</v>
      </c>
    </row>
    <row r="384" spans="1:18" x14ac:dyDescent="0.25">
      <c r="A384" t="s">
        <v>203</v>
      </c>
      <c r="B384" t="s">
        <v>253</v>
      </c>
      <c r="C384">
        <v>31</v>
      </c>
      <c r="D384" t="s">
        <v>201</v>
      </c>
      <c r="E384">
        <v>652</v>
      </c>
      <c r="F384" s="1">
        <v>3.2500000000000001E-2</v>
      </c>
      <c r="I384" s="1">
        <v>3.8800000000000001E-2</v>
      </c>
      <c r="J384" s="1">
        <v>0.23269999999999999</v>
      </c>
      <c r="K384" s="1">
        <v>0.4587</v>
      </c>
      <c r="L384" s="1">
        <v>0.2596</v>
      </c>
      <c r="N384" s="1">
        <v>5.4999999999999997E-3</v>
      </c>
      <c r="O384" s="1">
        <v>0.2271</v>
      </c>
      <c r="P384" s="1">
        <v>6.5000000000000002E-2</v>
      </c>
      <c r="R384" s="1">
        <v>4.3499999999999997E-2</v>
      </c>
    </row>
    <row r="385" spans="1:18" x14ac:dyDescent="0.25">
      <c r="A385" t="s">
        <v>203</v>
      </c>
      <c r="B385" t="s">
        <v>254</v>
      </c>
      <c r="C385">
        <v>48</v>
      </c>
      <c r="D385" t="s">
        <v>201</v>
      </c>
      <c r="E385">
        <v>652</v>
      </c>
      <c r="F385" s="1">
        <v>0.1782</v>
      </c>
      <c r="H385" s="1">
        <v>5.5300000000000002E-2</v>
      </c>
      <c r="I385" s="1">
        <v>3.8300000000000001E-2</v>
      </c>
      <c r="K385" s="1">
        <v>0.33100000000000002</v>
      </c>
      <c r="L385" s="1">
        <v>0.45629999999999998</v>
      </c>
      <c r="M385" s="1">
        <v>0.1641</v>
      </c>
      <c r="N385" s="1">
        <v>4.7000000000000002E-3</v>
      </c>
      <c r="O385" s="1">
        <v>0.5736</v>
      </c>
      <c r="P385" s="1">
        <v>1.8499999999999999E-2</v>
      </c>
      <c r="R385" s="1">
        <v>8.1000000000000003E-2</v>
      </c>
    </row>
    <row r="386" spans="1:18" s="29" customFormat="1" x14ac:dyDescent="0.25">
      <c r="A386" s="29" t="s">
        <v>203</v>
      </c>
      <c r="B386" s="29" t="s">
        <v>253</v>
      </c>
      <c r="C386" s="29">
        <v>6</v>
      </c>
      <c r="D386" s="29" t="s">
        <v>202</v>
      </c>
      <c r="E386" s="29">
        <v>652</v>
      </c>
      <c r="F386" s="30">
        <v>0.39379999999999998</v>
      </c>
      <c r="J386" s="30">
        <v>0.22750000000000001</v>
      </c>
      <c r="K386" s="30">
        <v>0.12839999999999999</v>
      </c>
      <c r="L386" s="30">
        <v>0.25669999999999998</v>
      </c>
      <c r="N386" s="30">
        <v>9.6799999999999997E-2</v>
      </c>
      <c r="O386" s="30">
        <v>0.25669999999999998</v>
      </c>
      <c r="R386" s="30">
        <v>0.41899999999999998</v>
      </c>
    </row>
    <row r="387" spans="1:18" s="29" customFormat="1" x14ac:dyDescent="0.25">
      <c r="A387" s="29" t="s">
        <v>203</v>
      </c>
      <c r="B387" s="29" t="s">
        <v>254</v>
      </c>
      <c r="C387" s="29">
        <v>19</v>
      </c>
      <c r="D387" s="29" t="s">
        <v>202</v>
      </c>
      <c r="E387" s="29">
        <v>652</v>
      </c>
      <c r="F387" s="30">
        <v>1.8200000000000001E-2</v>
      </c>
      <c r="H387" s="30">
        <v>6.5600000000000006E-2</v>
      </c>
      <c r="I387" s="30">
        <v>6.0900000000000003E-2</v>
      </c>
      <c r="K387" s="30">
        <v>0.39500000000000002</v>
      </c>
      <c r="L387" s="30">
        <v>0.3886</v>
      </c>
      <c r="M387" s="30">
        <v>0.13689999999999999</v>
      </c>
      <c r="O387" s="30">
        <v>0.49619999999999997</v>
      </c>
    </row>
    <row r="388" spans="1:18" x14ac:dyDescent="0.25">
      <c r="A388" t="s">
        <v>204</v>
      </c>
      <c r="B388" t="s">
        <v>204</v>
      </c>
      <c r="C388">
        <v>652</v>
      </c>
      <c r="D388" t="s">
        <v>204</v>
      </c>
      <c r="E388">
        <v>652</v>
      </c>
      <c r="F388" s="1">
        <v>9.1800000000000007E-2</v>
      </c>
      <c r="G388" s="1">
        <v>2E-3</v>
      </c>
      <c r="H388" s="1">
        <v>1.1599999999999999E-2</v>
      </c>
      <c r="I388" s="1">
        <v>5.4100000000000002E-2</v>
      </c>
      <c r="J388" s="1">
        <v>4.6399999999999997E-2</v>
      </c>
      <c r="K388" s="1">
        <v>0.2601</v>
      </c>
      <c r="L388" s="1">
        <v>0.24970000000000001</v>
      </c>
      <c r="M388" s="1">
        <v>0.1119</v>
      </c>
      <c r="N388" s="1">
        <v>6.2399999999999997E-2</v>
      </c>
      <c r="O388" s="1">
        <v>0.44990000000000002</v>
      </c>
      <c r="P388" s="1">
        <v>7.1000000000000004E-3</v>
      </c>
      <c r="Q388" s="1">
        <v>2.5000000000000001E-3</v>
      </c>
      <c r="R388" s="1">
        <v>4.0599999999999997E-2</v>
      </c>
    </row>
    <row r="390" spans="1:18" x14ac:dyDescent="0.25">
      <c r="A390" t="s">
        <v>276</v>
      </c>
    </row>
    <row r="391" spans="1:18" x14ac:dyDescent="0.25">
      <c r="A391" t="s">
        <v>190</v>
      </c>
      <c r="B391" t="s">
        <v>206</v>
      </c>
      <c r="C391" t="s">
        <v>195</v>
      </c>
      <c r="D391" t="s">
        <v>189</v>
      </c>
      <c r="E391" t="s">
        <v>196</v>
      </c>
      <c r="F391" t="s">
        <v>264</v>
      </c>
      <c r="G391" t="s">
        <v>220</v>
      </c>
      <c r="H391" t="s">
        <v>265</v>
      </c>
      <c r="I391" t="s">
        <v>266</v>
      </c>
      <c r="J391" t="s">
        <v>267</v>
      </c>
      <c r="K391" t="s">
        <v>268</v>
      </c>
      <c r="L391" t="s">
        <v>269</v>
      </c>
      <c r="M391" t="s">
        <v>270</v>
      </c>
      <c r="N391" t="s">
        <v>271</v>
      </c>
      <c r="O391" t="s">
        <v>272</v>
      </c>
      <c r="P391" t="s">
        <v>235</v>
      </c>
      <c r="Q391" t="s">
        <v>215</v>
      </c>
      <c r="R391" t="s">
        <v>273</v>
      </c>
    </row>
    <row r="392" spans="1:18" s="29" customFormat="1" x14ac:dyDescent="0.25">
      <c r="A392" s="29" t="s">
        <v>198</v>
      </c>
      <c r="B392" s="29" t="s">
        <v>228</v>
      </c>
      <c r="C392" s="29">
        <v>11</v>
      </c>
      <c r="D392" s="29" t="s">
        <v>197</v>
      </c>
      <c r="E392" s="29">
        <v>652</v>
      </c>
      <c r="F392" s="30">
        <v>9.8699999999999996E-2</v>
      </c>
      <c r="I392" s="30">
        <v>7.9200000000000007E-2</v>
      </c>
      <c r="K392" s="30">
        <v>0.56479999999999997</v>
      </c>
      <c r="L392" s="30">
        <v>5.3699999999999998E-2</v>
      </c>
      <c r="N392" s="30">
        <v>0.1585</v>
      </c>
      <c r="R392" s="30">
        <v>9.8699999999999996E-2</v>
      </c>
    </row>
    <row r="393" spans="1:18" s="29" customFormat="1" x14ac:dyDescent="0.25">
      <c r="A393" s="29" t="s">
        <v>198</v>
      </c>
      <c r="B393" s="29" t="s">
        <v>229</v>
      </c>
      <c r="C393" s="29">
        <v>17</v>
      </c>
      <c r="D393" s="29" t="s">
        <v>197</v>
      </c>
      <c r="E393" s="29">
        <v>652</v>
      </c>
      <c r="F393" s="30">
        <v>9.9099999999999994E-2</v>
      </c>
      <c r="I393" s="30">
        <v>7.3599999999999999E-2</v>
      </c>
      <c r="K393" s="30">
        <v>0.16020000000000001</v>
      </c>
      <c r="L393" s="30">
        <v>0.38529999999999998</v>
      </c>
      <c r="M393" s="30">
        <v>0.1726</v>
      </c>
      <c r="N393" s="30">
        <v>7.3599999999999999E-2</v>
      </c>
      <c r="O393" s="30">
        <v>0.4844</v>
      </c>
      <c r="R393" s="30">
        <v>0.17030000000000001</v>
      </c>
    </row>
    <row r="394" spans="1:18" x14ac:dyDescent="0.25">
      <c r="A394" t="s">
        <v>198</v>
      </c>
      <c r="B394" t="s">
        <v>228</v>
      </c>
      <c r="C394">
        <v>41</v>
      </c>
      <c r="D394" t="s">
        <v>199</v>
      </c>
      <c r="E394">
        <v>652</v>
      </c>
      <c r="F394" s="1">
        <v>2.47E-2</v>
      </c>
      <c r="I394" s="1">
        <v>8.8999999999999999E-3</v>
      </c>
      <c r="J394" s="1">
        <v>4.2700000000000002E-2</v>
      </c>
      <c r="K394" s="1">
        <v>0.44979999999999998</v>
      </c>
      <c r="L394" s="1">
        <v>0.1976</v>
      </c>
      <c r="M394" s="1">
        <v>6.2300000000000001E-2</v>
      </c>
      <c r="N394" s="1">
        <v>2.8899999999999999E-2</v>
      </c>
      <c r="O394" s="1">
        <v>0.47149999999999997</v>
      </c>
      <c r="P394" s="1">
        <v>1.3899999999999999E-2</v>
      </c>
      <c r="R394" s="1">
        <v>9.2999999999999992E-3</v>
      </c>
    </row>
    <row r="395" spans="1:18" x14ac:dyDescent="0.25">
      <c r="A395" t="s">
        <v>198</v>
      </c>
      <c r="B395" t="s">
        <v>229</v>
      </c>
      <c r="C395">
        <v>47</v>
      </c>
      <c r="D395" t="s">
        <v>199</v>
      </c>
      <c r="E395">
        <v>652</v>
      </c>
      <c r="F395" s="1">
        <v>2.6700000000000002E-2</v>
      </c>
      <c r="G395" s="1">
        <v>2.4E-2</v>
      </c>
      <c r="J395" s="1">
        <v>1.89E-2</v>
      </c>
      <c r="K395" s="1">
        <v>0.29799999999999999</v>
      </c>
      <c r="L395" s="1">
        <v>0.44490000000000002</v>
      </c>
      <c r="M395" s="1">
        <v>0.2036</v>
      </c>
      <c r="N395" s="1">
        <v>6.9500000000000006E-2</v>
      </c>
      <c r="O395" s="1">
        <v>0.68510000000000004</v>
      </c>
      <c r="P395" s="1">
        <v>2.8999999999999998E-3</v>
      </c>
      <c r="R395" s="1">
        <v>1.34E-2</v>
      </c>
    </row>
    <row r="396" spans="1:18" x14ac:dyDescent="0.25">
      <c r="A396" t="s">
        <v>198</v>
      </c>
      <c r="B396" t="s">
        <v>229</v>
      </c>
      <c r="C396">
        <v>70</v>
      </c>
      <c r="D396" t="s">
        <v>200</v>
      </c>
      <c r="E396">
        <v>652</v>
      </c>
      <c r="F396" s="1">
        <v>0.13539999999999999</v>
      </c>
      <c r="J396" s="1">
        <v>6.3899999999999998E-2</v>
      </c>
      <c r="K396" s="1">
        <v>0.21590000000000001</v>
      </c>
      <c r="L396" s="1">
        <v>8.1100000000000005E-2</v>
      </c>
      <c r="M396" s="1">
        <v>0.14660000000000001</v>
      </c>
      <c r="N396" s="1">
        <v>0.14649999999999999</v>
      </c>
      <c r="O396" s="1">
        <v>0.31459999999999999</v>
      </c>
      <c r="Q396" s="1">
        <v>2.5399999999999999E-2</v>
      </c>
      <c r="R396" s="1">
        <v>7.8100000000000003E-2</v>
      </c>
    </row>
    <row r="397" spans="1:18" x14ac:dyDescent="0.25">
      <c r="A397" t="s">
        <v>198</v>
      </c>
      <c r="B397" t="s">
        <v>228</v>
      </c>
      <c r="C397">
        <v>32</v>
      </c>
      <c r="D397" t="s">
        <v>200</v>
      </c>
      <c r="E397">
        <v>652</v>
      </c>
      <c r="F397" s="1">
        <v>7.1300000000000002E-2</v>
      </c>
      <c r="I397" s="1">
        <v>0.14199999999999999</v>
      </c>
      <c r="K397" s="1">
        <v>0.50980000000000003</v>
      </c>
      <c r="L397" s="1">
        <v>0.36509999999999998</v>
      </c>
      <c r="M397" s="1">
        <v>8.5099999999999995E-2</v>
      </c>
      <c r="N397" s="1">
        <v>3.9199999999999999E-2</v>
      </c>
      <c r="O397" s="1">
        <v>4.2299999999999997E-2</v>
      </c>
      <c r="R397" s="1">
        <v>5.3900000000000003E-2</v>
      </c>
    </row>
    <row r="398" spans="1:18" x14ac:dyDescent="0.25">
      <c r="A398" t="s">
        <v>198</v>
      </c>
      <c r="B398" t="s">
        <v>228</v>
      </c>
      <c r="C398">
        <v>33</v>
      </c>
      <c r="D398" t="s">
        <v>201</v>
      </c>
      <c r="E398">
        <v>652</v>
      </c>
      <c r="F398" s="1">
        <v>1.72E-2</v>
      </c>
      <c r="I398" s="1">
        <v>0.19570000000000001</v>
      </c>
      <c r="K398" s="1">
        <v>0.65590000000000004</v>
      </c>
      <c r="L398" s="1">
        <v>0.1246</v>
      </c>
      <c r="M398" s="1">
        <v>5.3400000000000003E-2</v>
      </c>
      <c r="N398" s="1">
        <v>1.8599999999999998E-2</v>
      </c>
      <c r="O398" s="1">
        <v>0.36840000000000001</v>
      </c>
      <c r="R398" s="1">
        <v>7.0599999999999996E-2</v>
      </c>
    </row>
    <row r="399" spans="1:18" x14ac:dyDescent="0.25">
      <c r="A399" t="s">
        <v>198</v>
      </c>
      <c r="B399" t="s">
        <v>229</v>
      </c>
      <c r="C399">
        <v>56</v>
      </c>
      <c r="D399" t="s">
        <v>201</v>
      </c>
      <c r="E399">
        <v>652</v>
      </c>
      <c r="F399" s="1">
        <v>0.12889999999999999</v>
      </c>
      <c r="I399" s="1">
        <v>3.3000000000000002E-2</v>
      </c>
      <c r="J399" s="1">
        <v>7.0900000000000005E-2</v>
      </c>
      <c r="K399" s="1">
        <v>5.9200000000000003E-2</v>
      </c>
      <c r="L399" s="1">
        <v>0.18410000000000001</v>
      </c>
      <c r="M399" s="1">
        <v>0.124</v>
      </c>
      <c r="N399" s="1">
        <v>0.17519999999999999</v>
      </c>
      <c r="O399" s="1">
        <v>0.4</v>
      </c>
      <c r="R399" s="1">
        <v>4.07E-2</v>
      </c>
    </row>
    <row r="400" spans="1:18" s="29" customFormat="1" x14ac:dyDescent="0.25">
      <c r="A400" s="29" t="s">
        <v>198</v>
      </c>
      <c r="B400" s="29" t="s">
        <v>229</v>
      </c>
      <c r="C400" s="29">
        <v>18</v>
      </c>
      <c r="D400" s="29" t="s">
        <v>202</v>
      </c>
      <c r="E400" s="29">
        <v>652</v>
      </c>
      <c r="F400" s="30">
        <v>5.8400000000000001E-2</v>
      </c>
      <c r="K400" s="30">
        <v>0.1018</v>
      </c>
      <c r="L400" s="30">
        <v>9.0999999999999998E-2</v>
      </c>
      <c r="M400" s="30">
        <v>0.1893</v>
      </c>
      <c r="N400" s="30">
        <v>3.4299999999999997E-2</v>
      </c>
      <c r="O400" s="30">
        <v>0.63800000000000001</v>
      </c>
    </row>
    <row r="401" spans="1:18" s="29" customFormat="1" x14ac:dyDescent="0.25">
      <c r="A401" s="29" t="s">
        <v>198</v>
      </c>
      <c r="B401" s="29" t="s">
        <v>228</v>
      </c>
      <c r="C401" s="29">
        <v>14</v>
      </c>
      <c r="D401" s="29" t="s">
        <v>202</v>
      </c>
      <c r="E401" s="29">
        <v>652</v>
      </c>
      <c r="F401" s="30">
        <v>0.18490000000000001</v>
      </c>
      <c r="I401" s="30">
        <v>0.33279999999999998</v>
      </c>
      <c r="K401" s="30">
        <v>0.48780000000000001</v>
      </c>
      <c r="L401" s="30">
        <v>0.12540000000000001</v>
      </c>
      <c r="M401" s="30">
        <v>3.6400000000000002E-2</v>
      </c>
      <c r="N401" s="30">
        <v>1.8200000000000001E-2</v>
      </c>
      <c r="O401" s="30">
        <v>0.1147</v>
      </c>
      <c r="P401" s="30">
        <v>6.8000000000000005E-2</v>
      </c>
    </row>
    <row r="402" spans="1:18" x14ac:dyDescent="0.25">
      <c r="A402" t="s">
        <v>203</v>
      </c>
      <c r="B402" t="s">
        <v>228</v>
      </c>
      <c r="C402">
        <v>55</v>
      </c>
      <c r="D402" t="s">
        <v>199</v>
      </c>
      <c r="E402">
        <v>652</v>
      </c>
      <c r="F402" s="1">
        <v>7.1499999999999994E-2</v>
      </c>
      <c r="I402" s="1">
        <v>0.13739999999999999</v>
      </c>
      <c r="K402" s="1">
        <v>0.64329999999999998</v>
      </c>
      <c r="L402" s="1">
        <v>0.06</v>
      </c>
      <c r="M402" s="1">
        <v>6.3299999999999995E-2</v>
      </c>
      <c r="N402" s="1">
        <v>7.9000000000000008E-3</v>
      </c>
      <c r="O402" s="1">
        <v>0.24840000000000001</v>
      </c>
      <c r="P402" s="1">
        <v>4.2500000000000003E-2</v>
      </c>
      <c r="R402" s="1">
        <v>5.1900000000000002E-2</v>
      </c>
    </row>
    <row r="403" spans="1:18" x14ac:dyDescent="0.25">
      <c r="A403" t="s">
        <v>203</v>
      </c>
      <c r="B403" t="s">
        <v>229</v>
      </c>
      <c r="C403">
        <v>81</v>
      </c>
      <c r="D403" t="s">
        <v>199</v>
      </c>
      <c r="E403">
        <v>652</v>
      </c>
      <c r="F403" s="1">
        <v>0.12820000000000001</v>
      </c>
      <c r="H403" s="1">
        <v>4.0099999999999997E-2</v>
      </c>
      <c r="I403" s="1">
        <v>4.7399999999999998E-2</v>
      </c>
      <c r="J403" s="1">
        <v>7.1999999999999998E-3</v>
      </c>
      <c r="K403" s="1">
        <v>0.16039999999999999</v>
      </c>
      <c r="L403" s="1">
        <v>0.24249999999999999</v>
      </c>
      <c r="M403" s="1">
        <v>7.1999999999999995E-2</v>
      </c>
      <c r="N403" s="1">
        <v>5.0200000000000002E-2</v>
      </c>
      <c r="O403" s="1">
        <v>0.64929999999999999</v>
      </c>
      <c r="P403" s="1">
        <v>4.7999999999999996E-3</v>
      </c>
      <c r="R403" s="1">
        <v>4.7899999999999998E-2</v>
      </c>
    </row>
    <row r="404" spans="1:18" x14ac:dyDescent="0.25">
      <c r="A404" t="s">
        <v>203</v>
      </c>
      <c r="B404" t="s">
        <v>229</v>
      </c>
      <c r="C404">
        <v>49</v>
      </c>
      <c r="D404" t="s">
        <v>200</v>
      </c>
      <c r="E404">
        <v>652</v>
      </c>
      <c r="F404" s="1">
        <v>7.7899999999999997E-2</v>
      </c>
      <c r="H404" s="1">
        <v>1.26E-2</v>
      </c>
      <c r="I404" s="1">
        <v>2.9499999999999998E-2</v>
      </c>
      <c r="J404" s="1">
        <v>0.14749999999999999</v>
      </c>
      <c r="K404" s="1">
        <v>0.1537</v>
      </c>
      <c r="L404" s="1">
        <v>0.37530000000000002</v>
      </c>
      <c r="M404" s="1">
        <v>7.9799999999999996E-2</v>
      </c>
      <c r="N404" s="1">
        <v>3.7699999999999997E-2</v>
      </c>
      <c r="O404" s="1">
        <v>0.5121</v>
      </c>
      <c r="R404" s="1">
        <v>1E-3</v>
      </c>
    </row>
    <row r="405" spans="1:18" s="29" customFormat="1" x14ac:dyDescent="0.25">
      <c r="A405" s="29" t="s">
        <v>203</v>
      </c>
      <c r="B405" s="29" t="s">
        <v>228</v>
      </c>
      <c r="C405" s="29">
        <v>19</v>
      </c>
      <c r="D405" s="29" t="s">
        <v>200</v>
      </c>
      <c r="E405" s="29">
        <v>652</v>
      </c>
      <c r="F405" s="30">
        <v>3.3E-3</v>
      </c>
      <c r="H405" s="30">
        <v>4.0000000000000001E-3</v>
      </c>
      <c r="I405" s="30">
        <v>9.0200000000000002E-2</v>
      </c>
      <c r="J405" s="30">
        <v>0.107</v>
      </c>
      <c r="K405" s="30">
        <v>0.41649999999999998</v>
      </c>
      <c r="L405" s="30">
        <v>0.23649999999999999</v>
      </c>
      <c r="M405" s="30">
        <v>0.1295</v>
      </c>
      <c r="O405" s="30">
        <v>0.12970000000000001</v>
      </c>
    </row>
    <row r="406" spans="1:18" x14ac:dyDescent="0.25">
      <c r="A406" t="s">
        <v>203</v>
      </c>
      <c r="B406" t="s">
        <v>228</v>
      </c>
      <c r="C406">
        <v>47</v>
      </c>
      <c r="D406" t="s">
        <v>201</v>
      </c>
      <c r="E406">
        <v>652</v>
      </c>
      <c r="I406" s="1">
        <v>0.13689999999999999</v>
      </c>
      <c r="J406" s="1">
        <v>5.3E-3</v>
      </c>
      <c r="K406" s="1">
        <v>0.6976</v>
      </c>
      <c r="L406" s="1">
        <v>5.3E-3</v>
      </c>
      <c r="M406" s="1">
        <v>6.7000000000000004E-2</v>
      </c>
      <c r="N406" s="1">
        <v>2.1399999999999999E-2</v>
      </c>
      <c r="O406" s="1">
        <v>0.19120000000000001</v>
      </c>
      <c r="R406" s="1">
        <v>9.3200000000000005E-2</v>
      </c>
    </row>
    <row r="407" spans="1:18" x14ac:dyDescent="0.25">
      <c r="A407" t="s">
        <v>203</v>
      </c>
      <c r="B407" t="s">
        <v>229</v>
      </c>
      <c r="C407">
        <v>31</v>
      </c>
      <c r="D407" t="s">
        <v>201</v>
      </c>
      <c r="E407">
        <v>652</v>
      </c>
      <c r="F407" s="1">
        <v>0.18149999999999999</v>
      </c>
      <c r="H407" s="1">
        <v>5.6300000000000003E-2</v>
      </c>
      <c r="I407" s="1">
        <v>9.4000000000000004E-3</v>
      </c>
      <c r="J407" s="1">
        <v>6.5699999999999995E-2</v>
      </c>
      <c r="K407" s="1">
        <v>0.26169999999999999</v>
      </c>
      <c r="L407" s="1">
        <v>0.53820000000000001</v>
      </c>
      <c r="M407" s="1">
        <v>0.14710000000000001</v>
      </c>
      <c r="O407" s="1">
        <v>0.5927</v>
      </c>
      <c r="P407" s="1">
        <v>3.7600000000000001E-2</v>
      </c>
      <c r="R407" s="1">
        <v>6.7299999999999999E-2</v>
      </c>
    </row>
    <row r="408" spans="1:18" s="29" customFormat="1" x14ac:dyDescent="0.25">
      <c r="A408" s="29" t="s">
        <v>203</v>
      </c>
      <c r="B408" s="29" t="s">
        <v>228</v>
      </c>
      <c r="C408" s="29">
        <v>12</v>
      </c>
      <c r="D408" s="29" t="s">
        <v>202</v>
      </c>
      <c r="E408" s="29">
        <v>652</v>
      </c>
      <c r="F408" s="30">
        <v>0.1033</v>
      </c>
      <c r="I408" s="30">
        <v>0.12609999999999999</v>
      </c>
      <c r="K408" s="30">
        <v>0.61299999999999999</v>
      </c>
      <c r="L408" s="30">
        <v>0.23630000000000001</v>
      </c>
      <c r="M408" s="30">
        <v>0.224</v>
      </c>
      <c r="N408" s="30">
        <v>3.7600000000000001E-2</v>
      </c>
      <c r="O408" s="30">
        <v>0.19719999999999999</v>
      </c>
      <c r="R408" s="30">
        <v>0.16300000000000001</v>
      </c>
    </row>
    <row r="409" spans="1:18" s="29" customFormat="1" x14ac:dyDescent="0.25">
      <c r="A409" s="29" t="s">
        <v>203</v>
      </c>
      <c r="B409" s="29" t="s">
        <v>229</v>
      </c>
      <c r="C409" s="29">
        <v>13</v>
      </c>
      <c r="D409" s="29" t="s">
        <v>202</v>
      </c>
      <c r="E409" s="29">
        <v>652</v>
      </c>
      <c r="F409" s="30">
        <v>5.9900000000000002E-2</v>
      </c>
      <c r="H409" s="30">
        <v>9.2999999999999999E-2</v>
      </c>
      <c r="J409" s="30">
        <v>6.0600000000000001E-2</v>
      </c>
      <c r="K409" s="30">
        <v>0.17480000000000001</v>
      </c>
      <c r="L409" s="30">
        <v>0.4577</v>
      </c>
      <c r="M409" s="30">
        <v>4.0899999999999999E-2</v>
      </c>
      <c r="O409" s="30">
        <v>0.6371</v>
      </c>
    </row>
    <row r="410" spans="1:18" x14ac:dyDescent="0.25">
      <c r="A410" t="s">
        <v>204</v>
      </c>
      <c r="B410" t="s">
        <v>204</v>
      </c>
      <c r="C410">
        <v>652</v>
      </c>
      <c r="D410" t="s">
        <v>204</v>
      </c>
      <c r="E410">
        <v>652</v>
      </c>
      <c r="F410" s="1">
        <v>9.1800000000000007E-2</v>
      </c>
      <c r="G410" s="1">
        <v>2E-3</v>
      </c>
      <c r="H410" s="1">
        <v>1.1599999999999999E-2</v>
      </c>
      <c r="I410" s="1">
        <v>5.4100000000000002E-2</v>
      </c>
      <c r="J410" s="1">
        <v>4.6399999999999997E-2</v>
      </c>
      <c r="K410" s="1">
        <v>0.2601</v>
      </c>
      <c r="L410" s="1">
        <v>0.24970000000000001</v>
      </c>
      <c r="M410" s="1">
        <v>0.1119</v>
      </c>
      <c r="N410" s="1">
        <v>6.2399999999999997E-2</v>
      </c>
      <c r="O410" s="1">
        <v>0.44990000000000002</v>
      </c>
      <c r="P410" s="1">
        <v>7.1000000000000004E-3</v>
      </c>
      <c r="Q410" s="1">
        <v>2.5000000000000001E-3</v>
      </c>
      <c r="R410" s="1">
        <v>4.0599999999999997E-2</v>
      </c>
    </row>
    <row r="412" spans="1:18" x14ac:dyDescent="0.25">
      <c r="A412" t="s">
        <v>277</v>
      </c>
    </row>
    <row r="413" spans="1:18" x14ac:dyDescent="0.25">
      <c r="A413" t="s">
        <v>190</v>
      </c>
      <c r="B413" t="s">
        <v>195</v>
      </c>
      <c r="C413" t="s">
        <v>189</v>
      </c>
      <c r="D413" t="s">
        <v>196</v>
      </c>
      <c r="E413" t="s">
        <v>278</v>
      </c>
      <c r="F413" t="s">
        <v>279</v>
      </c>
      <c r="G413" t="s">
        <v>280</v>
      </c>
    </row>
    <row r="414" spans="1:18" s="29" customFormat="1" x14ac:dyDescent="0.25">
      <c r="A414" s="29" t="s">
        <v>198</v>
      </c>
      <c r="B414" s="29">
        <v>5</v>
      </c>
      <c r="C414" s="29" t="s">
        <v>197</v>
      </c>
      <c r="D414" s="29">
        <v>221</v>
      </c>
      <c r="F414" s="30">
        <v>1</v>
      </c>
    </row>
    <row r="415" spans="1:18" x14ac:dyDescent="0.25">
      <c r="A415" t="s">
        <v>198</v>
      </c>
      <c r="B415">
        <v>39</v>
      </c>
      <c r="C415" t="s">
        <v>199</v>
      </c>
      <c r="D415">
        <v>221</v>
      </c>
      <c r="F415" s="1">
        <v>1</v>
      </c>
    </row>
    <row r="416" spans="1:18" x14ac:dyDescent="0.25">
      <c r="A416" t="s">
        <v>198</v>
      </c>
      <c r="B416">
        <v>35</v>
      </c>
      <c r="C416" t="s">
        <v>200</v>
      </c>
      <c r="D416">
        <v>221</v>
      </c>
      <c r="E416" s="1">
        <v>4.0500000000000001E-2</v>
      </c>
      <c r="F416" s="1">
        <v>0.87229999999999996</v>
      </c>
      <c r="G416" s="1">
        <v>8.7099999999999997E-2</v>
      </c>
    </row>
    <row r="417" spans="1:8" s="29" customFormat="1" x14ac:dyDescent="0.25">
      <c r="A417" s="29" t="s">
        <v>198</v>
      </c>
      <c r="B417" s="29">
        <v>23</v>
      </c>
      <c r="C417" s="29" t="s">
        <v>201</v>
      </c>
      <c r="D417" s="29">
        <v>221</v>
      </c>
      <c r="F417" s="30">
        <v>1</v>
      </c>
    </row>
    <row r="418" spans="1:8" s="29" customFormat="1" x14ac:dyDescent="0.25">
      <c r="A418" s="29" t="s">
        <v>198</v>
      </c>
      <c r="B418" s="29">
        <v>9</v>
      </c>
      <c r="C418" s="29" t="s">
        <v>202</v>
      </c>
      <c r="D418" s="29">
        <v>221</v>
      </c>
      <c r="F418" s="30">
        <v>1</v>
      </c>
    </row>
    <row r="419" spans="1:8" x14ac:dyDescent="0.25">
      <c r="A419" t="s">
        <v>203</v>
      </c>
      <c r="B419">
        <v>34</v>
      </c>
      <c r="C419" t="s">
        <v>199</v>
      </c>
      <c r="D419">
        <v>221</v>
      </c>
      <c r="F419" s="1">
        <v>1</v>
      </c>
    </row>
    <row r="420" spans="1:8" x14ac:dyDescent="0.25">
      <c r="A420" t="s">
        <v>203</v>
      </c>
      <c r="B420">
        <v>50</v>
      </c>
      <c r="C420" t="s">
        <v>200</v>
      </c>
      <c r="D420">
        <v>221</v>
      </c>
      <c r="F420" s="1">
        <v>0.85240000000000005</v>
      </c>
      <c r="G420" s="1">
        <v>0.14760000000000001</v>
      </c>
    </row>
    <row r="421" spans="1:8" s="29" customFormat="1" x14ac:dyDescent="0.25">
      <c r="A421" s="29" t="s">
        <v>203</v>
      </c>
      <c r="B421" s="29">
        <v>18</v>
      </c>
      <c r="C421" s="29" t="s">
        <v>201</v>
      </c>
      <c r="D421" s="29">
        <v>221</v>
      </c>
      <c r="F421" s="30">
        <v>1</v>
      </c>
    </row>
    <row r="422" spans="1:8" s="29" customFormat="1" x14ac:dyDescent="0.25">
      <c r="A422" s="29" t="s">
        <v>203</v>
      </c>
      <c r="B422" s="29">
        <v>8</v>
      </c>
      <c r="C422" s="29" t="s">
        <v>202</v>
      </c>
      <c r="D422" s="29">
        <v>221</v>
      </c>
      <c r="F422" s="30">
        <v>1</v>
      </c>
    </row>
    <row r="423" spans="1:8" x14ac:dyDescent="0.25">
      <c r="A423" t="s">
        <v>204</v>
      </c>
      <c r="B423">
        <v>221</v>
      </c>
      <c r="C423" t="s">
        <v>204</v>
      </c>
      <c r="D423">
        <v>221</v>
      </c>
      <c r="E423" s="1">
        <v>5.4999999999999997E-3</v>
      </c>
      <c r="F423" s="1">
        <v>0.93459999999999999</v>
      </c>
      <c r="G423" s="1">
        <v>5.9900000000000002E-2</v>
      </c>
    </row>
    <row r="425" spans="1:8" x14ac:dyDescent="0.25">
      <c r="A425" t="s">
        <v>281</v>
      </c>
    </row>
    <row r="426" spans="1:8" x14ac:dyDescent="0.25">
      <c r="A426" t="s">
        <v>190</v>
      </c>
      <c r="B426" t="s">
        <v>195</v>
      </c>
      <c r="C426" t="s">
        <v>189</v>
      </c>
      <c r="D426" t="s">
        <v>196</v>
      </c>
      <c r="E426" t="s">
        <v>220</v>
      </c>
      <c r="F426" t="s">
        <v>207</v>
      </c>
      <c r="G426" t="s">
        <v>215</v>
      </c>
      <c r="H426" t="s">
        <v>208</v>
      </c>
    </row>
    <row r="427" spans="1:8" x14ac:dyDescent="0.25">
      <c r="A427" t="s">
        <v>198</v>
      </c>
      <c r="B427">
        <v>213</v>
      </c>
      <c r="C427" t="s">
        <v>197</v>
      </c>
      <c r="D427">
        <v>7453</v>
      </c>
      <c r="F427" s="1">
        <v>0.51390000000000002</v>
      </c>
      <c r="H427" s="1">
        <v>0.48609999999999998</v>
      </c>
    </row>
    <row r="428" spans="1:8" x14ac:dyDescent="0.25">
      <c r="A428" t="s">
        <v>198</v>
      </c>
      <c r="B428">
        <v>1039</v>
      </c>
      <c r="C428" t="s">
        <v>199</v>
      </c>
      <c r="D428">
        <v>7453</v>
      </c>
      <c r="E428" s="1">
        <v>5.0000000000000001E-4</v>
      </c>
      <c r="F428" s="1">
        <v>0.59699999999999998</v>
      </c>
      <c r="H428" s="1">
        <v>0.40250000000000002</v>
      </c>
    </row>
    <row r="429" spans="1:8" x14ac:dyDescent="0.25">
      <c r="A429" t="s">
        <v>198</v>
      </c>
      <c r="B429">
        <v>1097</v>
      </c>
      <c r="C429" t="s">
        <v>200</v>
      </c>
      <c r="D429">
        <v>7453</v>
      </c>
      <c r="E429" s="1">
        <v>6.3E-3</v>
      </c>
      <c r="F429" s="1">
        <v>0.5766</v>
      </c>
      <c r="G429" s="1">
        <v>2.2000000000000001E-3</v>
      </c>
      <c r="H429" s="1">
        <v>0.41489999999999999</v>
      </c>
    </row>
    <row r="430" spans="1:8" x14ac:dyDescent="0.25">
      <c r="A430" t="s">
        <v>198</v>
      </c>
      <c r="B430">
        <v>739</v>
      </c>
      <c r="C430" t="s">
        <v>201</v>
      </c>
      <c r="D430">
        <v>7453</v>
      </c>
      <c r="F430" s="1">
        <v>0.58640000000000003</v>
      </c>
      <c r="H430" s="1">
        <v>0.41360000000000002</v>
      </c>
    </row>
    <row r="431" spans="1:8" x14ac:dyDescent="0.25">
      <c r="A431" t="s">
        <v>198</v>
      </c>
      <c r="B431">
        <v>245</v>
      </c>
      <c r="C431" t="s">
        <v>202</v>
      </c>
      <c r="D431">
        <v>7453</v>
      </c>
      <c r="F431" s="1">
        <v>0.5161</v>
      </c>
      <c r="G431" s="1">
        <v>3.8E-3</v>
      </c>
      <c r="H431" s="1">
        <v>0.48</v>
      </c>
    </row>
    <row r="432" spans="1:8" x14ac:dyDescent="0.25">
      <c r="A432" t="s">
        <v>203</v>
      </c>
      <c r="B432">
        <v>1480</v>
      </c>
      <c r="C432" t="s">
        <v>199</v>
      </c>
      <c r="D432">
        <v>7453</v>
      </c>
      <c r="E432" s="1">
        <v>5.0000000000000001E-4</v>
      </c>
      <c r="F432" s="1">
        <v>0.61370000000000002</v>
      </c>
      <c r="G432" s="1">
        <v>6.9999999999999999E-4</v>
      </c>
      <c r="H432" s="1">
        <v>0.3851</v>
      </c>
    </row>
    <row r="433" spans="1:9" x14ac:dyDescent="0.25">
      <c r="A433" t="s">
        <v>203</v>
      </c>
      <c r="B433">
        <v>1458</v>
      </c>
      <c r="C433" t="s">
        <v>200</v>
      </c>
      <c r="D433">
        <v>7453</v>
      </c>
      <c r="E433" s="1">
        <v>1E-3</v>
      </c>
      <c r="F433" s="1">
        <v>0.57889999999999997</v>
      </c>
      <c r="H433" s="1">
        <v>0.42020000000000002</v>
      </c>
    </row>
    <row r="434" spans="1:9" x14ac:dyDescent="0.25">
      <c r="A434" t="s">
        <v>203</v>
      </c>
      <c r="B434">
        <v>920</v>
      </c>
      <c r="C434" t="s">
        <v>201</v>
      </c>
      <c r="D434">
        <v>7453</v>
      </c>
      <c r="E434" s="1">
        <v>4.0000000000000002E-4</v>
      </c>
      <c r="F434" s="1">
        <v>0.6341</v>
      </c>
      <c r="G434" s="1">
        <v>3.0999999999999999E-3</v>
      </c>
      <c r="H434" s="1">
        <v>0.3624</v>
      </c>
    </row>
    <row r="435" spans="1:9" x14ac:dyDescent="0.25">
      <c r="A435" t="s">
        <v>203</v>
      </c>
      <c r="B435">
        <v>262</v>
      </c>
      <c r="C435" t="s">
        <v>202</v>
      </c>
      <c r="D435">
        <v>7453</v>
      </c>
      <c r="E435" s="1">
        <v>1.6E-2</v>
      </c>
      <c r="F435" s="1">
        <v>0.44500000000000001</v>
      </c>
      <c r="G435" s="1">
        <v>5.4000000000000003E-3</v>
      </c>
      <c r="H435" s="1">
        <v>0.53359999999999996</v>
      </c>
    </row>
    <row r="436" spans="1:9" x14ac:dyDescent="0.25">
      <c r="A436" t="s">
        <v>204</v>
      </c>
      <c r="B436">
        <v>7453</v>
      </c>
      <c r="C436" t="s">
        <v>204</v>
      </c>
      <c r="D436">
        <v>7453</v>
      </c>
      <c r="E436" s="1">
        <v>2.0999999999999999E-3</v>
      </c>
      <c r="F436" s="1">
        <v>0.57220000000000004</v>
      </c>
      <c r="G436" s="1">
        <v>1.1999999999999999E-3</v>
      </c>
      <c r="H436" s="1">
        <v>0.42459999999999998</v>
      </c>
    </row>
    <row r="438" spans="1:9" x14ac:dyDescent="0.25">
      <c r="A438" t="s">
        <v>282</v>
      </c>
    </row>
    <row r="439" spans="1:9" x14ac:dyDescent="0.25">
      <c r="A439" t="s">
        <v>190</v>
      </c>
      <c r="B439" t="s">
        <v>206</v>
      </c>
      <c r="C439" t="s">
        <v>195</v>
      </c>
      <c r="D439" t="s">
        <v>189</v>
      </c>
      <c r="E439" t="s">
        <v>196</v>
      </c>
      <c r="F439" t="s">
        <v>220</v>
      </c>
      <c r="G439" t="s">
        <v>207</v>
      </c>
      <c r="H439" t="s">
        <v>215</v>
      </c>
      <c r="I439" t="s">
        <v>208</v>
      </c>
    </row>
    <row r="440" spans="1:9" s="29" customFormat="1" x14ac:dyDescent="0.25">
      <c r="A440" s="29" t="s">
        <v>198</v>
      </c>
      <c r="B440" s="29" t="s">
        <v>283</v>
      </c>
      <c r="C440" s="29">
        <v>15</v>
      </c>
      <c r="D440" s="29" t="s">
        <v>197</v>
      </c>
      <c r="E440" s="29">
        <v>7453</v>
      </c>
      <c r="G440" s="30">
        <v>0.48420000000000002</v>
      </c>
      <c r="I440" s="30">
        <v>0.51580000000000004</v>
      </c>
    </row>
    <row r="441" spans="1:9" s="29" customFormat="1" x14ac:dyDescent="0.25">
      <c r="A441" s="29" t="s">
        <v>198</v>
      </c>
      <c r="B441" s="29" t="s">
        <v>284</v>
      </c>
      <c r="C441" s="29">
        <v>8</v>
      </c>
      <c r="D441" s="29" t="s">
        <v>197</v>
      </c>
      <c r="E441" s="29">
        <v>7453</v>
      </c>
      <c r="G441" s="30">
        <v>0.4788</v>
      </c>
      <c r="I441" s="30">
        <v>0.5212</v>
      </c>
    </row>
    <row r="442" spans="1:9" s="29" customFormat="1" x14ac:dyDescent="0.25">
      <c r="A442" s="29" t="s">
        <v>198</v>
      </c>
      <c r="B442" s="29" t="s">
        <v>285</v>
      </c>
      <c r="C442" s="29">
        <v>11</v>
      </c>
      <c r="D442" s="29" t="s">
        <v>197</v>
      </c>
      <c r="E442" s="29">
        <v>7453</v>
      </c>
      <c r="G442" s="30">
        <v>0.3775</v>
      </c>
      <c r="I442" s="30">
        <v>0.62250000000000005</v>
      </c>
    </row>
    <row r="443" spans="1:9" x14ac:dyDescent="0.25">
      <c r="A443" t="s">
        <v>198</v>
      </c>
      <c r="B443" t="s">
        <v>248</v>
      </c>
      <c r="C443">
        <v>57</v>
      </c>
      <c r="D443" t="s">
        <v>197</v>
      </c>
      <c r="E443">
        <v>7453</v>
      </c>
      <c r="G443" s="1">
        <v>0.31859999999999999</v>
      </c>
      <c r="I443" s="1">
        <v>0.68140000000000001</v>
      </c>
    </row>
    <row r="444" spans="1:9" s="29" customFormat="1" x14ac:dyDescent="0.25">
      <c r="A444" s="29" t="s">
        <v>198</v>
      </c>
      <c r="B444" s="29" t="s">
        <v>286</v>
      </c>
      <c r="C444" s="29">
        <v>14</v>
      </c>
      <c r="D444" s="29" t="s">
        <v>197</v>
      </c>
      <c r="E444" s="29">
        <v>7453</v>
      </c>
      <c r="G444" s="30">
        <v>0.51049999999999995</v>
      </c>
      <c r="I444" s="30">
        <v>0.48949999999999999</v>
      </c>
    </row>
    <row r="445" spans="1:9" s="29" customFormat="1" x14ac:dyDescent="0.25">
      <c r="A445" s="29" t="s">
        <v>198</v>
      </c>
      <c r="B445" s="29" t="s">
        <v>287</v>
      </c>
      <c r="C445" s="29">
        <v>21</v>
      </c>
      <c r="D445" s="29" t="s">
        <v>197</v>
      </c>
      <c r="E445" s="29">
        <v>7453</v>
      </c>
      <c r="G445" s="30">
        <v>0.51200000000000001</v>
      </c>
      <c r="I445" s="30">
        <v>0.48799999999999999</v>
      </c>
    </row>
    <row r="446" spans="1:9" s="29" customFormat="1" x14ac:dyDescent="0.25">
      <c r="A446" s="29" t="s">
        <v>198</v>
      </c>
      <c r="B446" s="29" t="s">
        <v>288</v>
      </c>
      <c r="C446" s="29">
        <v>15</v>
      </c>
      <c r="D446" s="29" t="s">
        <v>197</v>
      </c>
      <c r="E446" s="29">
        <v>7453</v>
      </c>
      <c r="G446" s="30">
        <v>0.60860000000000003</v>
      </c>
      <c r="I446" s="30">
        <v>0.39140000000000003</v>
      </c>
    </row>
    <row r="447" spans="1:9" s="29" customFormat="1" x14ac:dyDescent="0.25">
      <c r="A447" s="29" t="s">
        <v>198</v>
      </c>
      <c r="B447" s="29" t="s">
        <v>289</v>
      </c>
      <c r="C447" s="29">
        <v>12</v>
      </c>
      <c r="D447" s="29" t="s">
        <v>197</v>
      </c>
      <c r="E447" s="29">
        <v>7453</v>
      </c>
      <c r="G447" s="30">
        <v>0.80679999999999996</v>
      </c>
      <c r="I447" s="30">
        <v>0.19320000000000001</v>
      </c>
    </row>
    <row r="448" spans="1:9" s="29" customFormat="1" x14ac:dyDescent="0.25">
      <c r="A448" s="29" t="s">
        <v>198</v>
      </c>
      <c r="B448" s="29" t="s">
        <v>290</v>
      </c>
      <c r="C448" s="29">
        <v>8</v>
      </c>
      <c r="D448" s="29" t="s">
        <v>197</v>
      </c>
      <c r="E448" s="29">
        <v>7453</v>
      </c>
      <c r="G448" s="30">
        <v>0.65390000000000004</v>
      </c>
      <c r="I448" s="30">
        <v>0.34610000000000002</v>
      </c>
    </row>
    <row r="449" spans="1:9" s="29" customFormat="1" x14ac:dyDescent="0.25">
      <c r="A449" s="29" t="s">
        <v>198</v>
      </c>
      <c r="B449" s="29" t="s">
        <v>291</v>
      </c>
      <c r="C449" s="29">
        <v>15</v>
      </c>
      <c r="D449" s="29" t="s">
        <v>197</v>
      </c>
      <c r="E449" s="29">
        <v>7453</v>
      </c>
      <c r="G449" s="30">
        <v>0.77769999999999995</v>
      </c>
      <c r="I449" s="30">
        <v>0.2223</v>
      </c>
    </row>
    <row r="450" spans="1:9" s="29" customFormat="1" x14ac:dyDescent="0.25">
      <c r="A450" s="29" t="s">
        <v>198</v>
      </c>
      <c r="B450" s="29" t="s">
        <v>292</v>
      </c>
      <c r="C450" s="29">
        <v>17</v>
      </c>
      <c r="D450" s="29" t="s">
        <v>197</v>
      </c>
      <c r="E450" s="29">
        <v>7453</v>
      </c>
      <c r="G450" s="30">
        <v>0.61650000000000005</v>
      </c>
      <c r="I450" s="30">
        <v>0.38350000000000001</v>
      </c>
    </row>
    <row r="451" spans="1:9" s="29" customFormat="1" x14ac:dyDescent="0.25">
      <c r="A451" s="29" t="s">
        <v>198</v>
      </c>
      <c r="B451" s="29" t="s">
        <v>293</v>
      </c>
      <c r="C451" s="29">
        <v>17</v>
      </c>
      <c r="D451" s="29" t="s">
        <v>197</v>
      </c>
      <c r="E451" s="29">
        <v>7453</v>
      </c>
      <c r="G451" s="30">
        <v>0.61180000000000001</v>
      </c>
      <c r="I451" s="30">
        <v>0.38819999999999999</v>
      </c>
    </row>
    <row r="452" spans="1:9" s="29" customFormat="1" x14ac:dyDescent="0.25">
      <c r="A452" s="29" t="s">
        <v>198</v>
      </c>
      <c r="B452" s="29" t="s">
        <v>247</v>
      </c>
      <c r="C452" s="29">
        <v>3</v>
      </c>
      <c r="D452" s="29" t="s">
        <v>197</v>
      </c>
      <c r="E452" s="29">
        <v>7453</v>
      </c>
      <c r="G452" s="30">
        <v>0.61609999999999998</v>
      </c>
      <c r="I452" s="30">
        <v>0.38390000000000002</v>
      </c>
    </row>
    <row r="453" spans="1:9" x14ac:dyDescent="0.25">
      <c r="A453" t="s">
        <v>198</v>
      </c>
      <c r="B453" t="s">
        <v>289</v>
      </c>
      <c r="C453">
        <v>103</v>
      </c>
      <c r="D453" t="s">
        <v>199</v>
      </c>
      <c r="E453">
        <v>7453</v>
      </c>
      <c r="G453" s="1">
        <v>0.76539999999999997</v>
      </c>
      <c r="I453" s="1">
        <v>0.2346</v>
      </c>
    </row>
    <row r="454" spans="1:9" x14ac:dyDescent="0.25">
      <c r="A454" t="s">
        <v>198</v>
      </c>
      <c r="B454" t="s">
        <v>288</v>
      </c>
      <c r="C454">
        <v>79</v>
      </c>
      <c r="D454" t="s">
        <v>199</v>
      </c>
      <c r="E454">
        <v>7453</v>
      </c>
      <c r="G454" s="1">
        <v>0.76</v>
      </c>
      <c r="I454" s="1">
        <v>0.24</v>
      </c>
    </row>
    <row r="455" spans="1:9" x14ac:dyDescent="0.25">
      <c r="A455" t="s">
        <v>198</v>
      </c>
      <c r="B455" t="s">
        <v>287</v>
      </c>
      <c r="C455">
        <v>68</v>
      </c>
      <c r="D455" t="s">
        <v>199</v>
      </c>
      <c r="E455">
        <v>7453</v>
      </c>
      <c r="G455" s="1">
        <v>0.43340000000000001</v>
      </c>
      <c r="I455" s="1">
        <v>0.56659999999999999</v>
      </c>
    </row>
    <row r="456" spans="1:9" x14ac:dyDescent="0.25">
      <c r="A456" t="s">
        <v>198</v>
      </c>
      <c r="B456" t="s">
        <v>283</v>
      </c>
      <c r="C456">
        <v>74</v>
      </c>
      <c r="D456" t="s">
        <v>199</v>
      </c>
      <c r="E456">
        <v>7453</v>
      </c>
      <c r="G456" s="1">
        <v>0.7621</v>
      </c>
      <c r="I456" s="1">
        <v>0.2379</v>
      </c>
    </row>
    <row r="457" spans="1:9" x14ac:dyDescent="0.25">
      <c r="A457" t="s">
        <v>198</v>
      </c>
      <c r="B457" t="s">
        <v>284</v>
      </c>
      <c r="C457">
        <v>63</v>
      </c>
      <c r="D457" t="s">
        <v>199</v>
      </c>
      <c r="E457">
        <v>7453</v>
      </c>
      <c r="G457" s="1">
        <v>0.3785</v>
      </c>
      <c r="I457" s="1">
        <v>0.62150000000000005</v>
      </c>
    </row>
    <row r="458" spans="1:9" x14ac:dyDescent="0.25">
      <c r="A458" t="s">
        <v>198</v>
      </c>
      <c r="B458" t="s">
        <v>286</v>
      </c>
      <c r="C458">
        <v>93</v>
      </c>
      <c r="D458" t="s">
        <v>199</v>
      </c>
      <c r="E458">
        <v>7453</v>
      </c>
      <c r="G458" s="1">
        <v>0.59370000000000001</v>
      </c>
      <c r="I458" s="1">
        <v>0.40629999999999999</v>
      </c>
    </row>
    <row r="459" spans="1:9" x14ac:dyDescent="0.25">
      <c r="A459" t="s">
        <v>198</v>
      </c>
      <c r="B459" t="s">
        <v>248</v>
      </c>
      <c r="C459">
        <v>172</v>
      </c>
      <c r="D459" t="s">
        <v>199</v>
      </c>
      <c r="E459">
        <v>7453</v>
      </c>
      <c r="G459" s="1">
        <v>0.35560000000000003</v>
      </c>
      <c r="I459" s="1">
        <v>0.64439999999999997</v>
      </c>
    </row>
    <row r="460" spans="1:9" x14ac:dyDescent="0.25">
      <c r="A460" t="s">
        <v>198</v>
      </c>
      <c r="B460" t="s">
        <v>292</v>
      </c>
      <c r="C460">
        <v>82</v>
      </c>
      <c r="D460" t="s">
        <v>199</v>
      </c>
      <c r="E460">
        <v>7453</v>
      </c>
      <c r="G460" s="1">
        <v>0.66490000000000005</v>
      </c>
      <c r="I460" s="1">
        <v>0.33510000000000001</v>
      </c>
    </row>
    <row r="461" spans="1:9" x14ac:dyDescent="0.25">
      <c r="A461" t="s">
        <v>198</v>
      </c>
      <c r="B461" t="s">
        <v>285</v>
      </c>
      <c r="C461">
        <v>51</v>
      </c>
      <c r="D461" t="s">
        <v>199</v>
      </c>
      <c r="E461">
        <v>7453</v>
      </c>
      <c r="G461" s="1">
        <v>0.3498</v>
      </c>
      <c r="I461" s="1">
        <v>0.6502</v>
      </c>
    </row>
    <row r="462" spans="1:9" x14ac:dyDescent="0.25">
      <c r="A462" t="s">
        <v>198</v>
      </c>
      <c r="B462" t="s">
        <v>247</v>
      </c>
      <c r="C462">
        <v>48</v>
      </c>
      <c r="D462" t="s">
        <v>199</v>
      </c>
      <c r="E462">
        <v>7453</v>
      </c>
      <c r="G462" s="1">
        <v>0.74509999999999998</v>
      </c>
      <c r="I462" s="1">
        <v>0.25490000000000002</v>
      </c>
    </row>
    <row r="463" spans="1:9" x14ac:dyDescent="0.25">
      <c r="A463" t="s">
        <v>198</v>
      </c>
      <c r="B463" t="s">
        <v>290</v>
      </c>
      <c r="C463">
        <v>53</v>
      </c>
      <c r="D463" t="s">
        <v>199</v>
      </c>
      <c r="E463">
        <v>7453</v>
      </c>
      <c r="G463" s="1">
        <v>0.8115</v>
      </c>
      <c r="I463" s="1">
        <v>0.1885</v>
      </c>
    </row>
    <row r="464" spans="1:9" x14ac:dyDescent="0.25">
      <c r="A464" t="s">
        <v>198</v>
      </c>
      <c r="B464" t="s">
        <v>293</v>
      </c>
      <c r="C464">
        <v>92</v>
      </c>
      <c r="D464" t="s">
        <v>199</v>
      </c>
      <c r="E464">
        <v>7453</v>
      </c>
      <c r="G464" s="1">
        <v>0.65980000000000005</v>
      </c>
      <c r="I464" s="1">
        <v>0.3402</v>
      </c>
    </row>
    <row r="465" spans="1:9" x14ac:dyDescent="0.25">
      <c r="A465" t="s">
        <v>198</v>
      </c>
      <c r="B465" t="s">
        <v>291</v>
      </c>
      <c r="C465">
        <v>61</v>
      </c>
      <c r="D465" t="s">
        <v>199</v>
      </c>
      <c r="E465">
        <v>7453</v>
      </c>
      <c r="F465" s="1">
        <v>6.1999999999999998E-3</v>
      </c>
      <c r="G465" s="1">
        <v>0.70909999999999995</v>
      </c>
      <c r="I465" s="1">
        <v>0.28470000000000001</v>
      </c>
    </row>
    <row r="466" spans="1:9" x14ac:dyDescent="0.25">
      <c r="A466" t="s">
        <v>198</v>
      </c>
      <c r="B466" t="s">
        <v>285</v>
      </c>
      <c r="C466">
        <v>63</v>
      </c>
      <c r="D466" t="s">
        <v>200</v>
      </c>
      <c r="E466">
        <v>7453</v>
      </c>
      <c r="G466" s="1">
        <v>0.49569999999999997</v>
      </c>
      <c r="I466" s="1">
        <v>0.50429999999999997</v>
      </c>
    </row>
    <row r="467" spans="1:9" x14ac:dyDescent="0.25">
      <c r="A467" t="s">
        <v>198</v>
      </c>
      <c r="B467" t="s">
        <v>248</v>
      </c>
      <c r="C467">
        <v>199</v>
      </c>
      <c r="D467" t="s">
        <v>200</v>
      </c>
      <c r="E467">
        <v>7453</v>
      </c>
      <c r="F467" s="1">
        <v>8.6E-3</v>
      </c>
      <c r="G467" s="1">
        <v>0.33929999999999999</v>
      </c>
      <c r="I467" s="1">
        <v>0.65210000000000001</v>
      </c>
    </row>
    <row r="468" spans="1:9" x14ac:dyDescent="0.25">
      <c r="A468" t="s">
        <v>198</v>
      </c>
      <c r="B468" t="s">
        <v>284</v>
      </c>
      <c r="C468">
        <v>46</v>
      </c>
      <c r="D468" t="s">
        <v>200</v>
      </c>
      <c r="E468">
        <v>7453</v>
      </c>
      <c r="G468" s="1">
        <v>0.62019999999999997</v>
      </c>
      <c r="I468" s="1">
        <v>0.37980000000000003</v>
      </c>
    </row>
    <row r="469" spans="1:9" x14ac:dyDescent="0.25">
      <c r="A469" t="s">
        <v>198</v>
      </c>
      <c r="B469" t="s">
        <v>290</v>
      </c>
      <c r="C469">
        <v>47</v>
      </c>
      <c r="D469" t="s">
        <v>200</v>
      </c>
      <c r="E469">
        <v>7453</v>
      </c>
      <c r="G469" s="1">
        <v>0.80349999999999999</v>
      </c>
      <c r="I469" s="1">
        <v>0.19650000000000001</v>
      </c>
    </row>
    <row r="470" spans="1:9" x14ac:dyDescent="0.25">
      <c r="A470" t="s">
        <v>198</v>
      </c>
      <c r="B470" t="s">
        <v>292</v>
      </c>
      <c r="C470">
        <v>90</v>
      </c>
      <c r="D470" t="s">
        <v>200</v>
      </c>
      <c r="E470">
        <v>7453</v>
      </c>
      <c r="F470" s="1">
        <v>1.1299999999999999E-2</v>
      </c>
      <c r="G470" s="1">
        <v>0.71140000000000003</v>
      </c>
      <c r="I470" s="1">
        <v>0.2772</v>
      </c>
    </row>
    <row r="471" spans="1:9" x14ac:dyDescent="0.25">
      <c r="A471" t="s">
        <v>198</v>
      </c>
      <c r="B471" t="s">
        <v>293</v>
      </c>
      <c r="C471">
        <v>121</v>
      </c>
      <c r="D471" t="s">
        <v>200</v>
      </c>
      <c r="E471">
        <v>7453</v>
      </c>
      <c r="F471" s="1">
        <v>7.3000000000000001E-3</v>
      </c>
      <c r="G471" s="1">
        <v>0.67400000000000004</v>
      </c>
      <c r="I471" s="1">
        <v>0.31869999999999998</v>
      </c>
    </row>
    <row r="472" spans="1:9" x14ac:dyDescent="0.25">
      <c r="A472" t="s">
        <v>198</v>
      </c>
      <c r="B472" t="s">
        <v>288</v>
      </c>
      <c r="C472">
        <v>89</v>
      </c>
      <c r="D472" t="s">
        <v>200</v>
      </c>
      <c r="E472">
        <v>7453</v>
      </c>
      <c r="F472" s="1">
        <v>3.7900000000000003E-2</v>
      </c>
      <c r="G472" s="1">
        <v>0.60660000000000003</v>
      </c>
      <c r="H472" s="1">
        <v>1.9599999999999999E-2</v>
      </c>
      <c r="I472" s="1">
        <v>0.33579999999999999</v>
      </c>
    </row>
    <row r="473" spans="1:9" x14ac:dyDescent="0.25">
      <c r="A473" t="s">
        <v>198</v>
      </c>
      <c r="B473" t="s">
        <v>283</v>
      </c>
      <c r="C473">
        <v>69</v>
      </c>
      <c r="D473" t="s">
        <v>200</v>
      </c>
      <c r="E473">
        <v>7453</v>
      </c>
      <c r="G473" s="1">
        <v>0.59330000000000005</v>
      </c>
      <c r="I473" s="1">
        <v>0.40670000000000001</v>
      </c>
    </row>
    <row r="474" spans="1:9" x14ac:dyDescent="0.25">
      <c r="A474" t="s">
        <v>198</v>
      </c>
      <c r="B474" t="s">
        <v>289</v>
      </c>
      <c r="C474">
        <v>104</v>
      </c>
      <c r="D474" t="s">
        <v>200</v>
      </c>
      <c r="E474">
        <v>7453</v>
      </c>
      <c r="G474" s="1">
        <v>0.64</v>
      </c>
      <c r="I474" s="1">
        <v>0.36</v>
      </c>
    </row>
    <row r="475" spans="1:9" x14ac:dyDescent="0.25">
      <c r="A475" t="s">
        <v>198</v>
      </c>
      <c r="B475" t="s">
        <v>287</v>
      </c>
      <c r="C475">
        <v>64</v>
      </c>
      <c r="D475" t="s">
        <v>200</v>
      </c>
      <c r="E475">
        <v>7453</v>
      </c>
      <c r="G475" s="1">
        <v>0.60089999999999999</v>
      </c>
      <c r="I475" s="1">
        <v>0.39910000000000001</v>
      </c>
    </row>
    <row r="476" spans="1:9" x14ac:dyDescent="0.25">
      <c r="A476" t="s">
        <v>198</v>
      </c>
      <c r="B476" t="s">
        <v>247</v>
      </c>
      <c r="C476">
        <v>56</v>
      </c>
      <c r="D476" t="s">
        <v>200</v>
      </c>
      <c r="E476">
        <v>7453</v>
      </c>
      <c r="G476" s="1">
        <v>0.58250000000000002</v>
      </c>
      <c r="H476" s="1">
        <v>1.1299999999999999E-2</v>
      </c>
      <c r="I476" s="1">
        <v>0.40620000000000001</v>
      </c>
    </row>
    <row r="477" spans="1:9" x14ac:dyDescent="0.25">
      <c r="A477" t="s">
        <v>198</v>
      </c>
      <c r="B477" t="s">
        <v>291</v>
      </c>
      <c r="C477">
        <v>64</v>
      </c>
      <c r="D477" t="s">
        <v>200</v>
      </c>
      <c r="E477">
        <v>7453</v>
      </c>
      <c r="G477" s="1">
        <v>0.68759999999999999</v>
      </c>
      <c r="I477" s="1">
        <v>0.31240000000000001</v>
      </c>
    </row>
    <row r="478" spans="1:9" x14ac:dyDescent="0.25">
      <c r="A478" t="s">
        <v>198</v>
      </c>
      <c r="B478" t="s">
        <v>286</v>
      </c>
      <c r="C478">
        <v>85</v>
      </c>
      <c r="D478" t="s">
        <v>200</v>
      </c>
      <c r="E478">
        <v>7453</v>
      </c>
      <c r="G478" s="1">
        <v>0.41289999999999999</v>
      </c>
      <c r="I478" s="1">
        <v>0.58709999999999996</v>
      </c>
    </row>
    <row r="479" spans="1:9" x14ac:dyDescent="0.25">
      <c r="A479" t="s">
        <v>198</v>
      </c>
      <c r="B479" t="s">
        <v>290</v>
      </c>
      <c r="C479">
        <v>41</v>
      </c>
      <c r="D479" t="s">
        <v>201</v>
      </c>
      <c r="E479">
        <v>7453</v>
      </c>
      <c r="G479" s="1">
        <v>0.58860000000000001</v>
      </c>
      <c r="I479" s="1">
        <v>0.41139999999999999</v>
      </c>
    </row>
    <row r="480" spans="1:9" x14ac:dyDescent="0.25">
      <c r="A480" t="s">
        <v>198</v>
      </c>
      <c r="B480" t="s">
        <v>285</v>
      </c>
      <c r="C480">
        <v>33</v>
      </c>
      <c r="D480" t="s">
        <v>201</v>
      </c>
      <c r="E480">
        <v>7453</v>
      </c>
      <c r="G480" s="1">
        <v>0.4713</v>
      </c>
      <c r="I480" s="1">
        <v>0.52869999999999995</v>
      </c>
    </row>
    <row r="481" spans="1:9" x14ac:dyDescent="0.25">
      <c r="A481" t="s">
        <v>198</v>
      </c>
      <c r="B481" t="s">
        <v>247</v>
      </c>
      <c r="C481">
        <v>47</v>
      </c>
      <c r="D481" t="s">
        <v>201</v>
      </c>
      <c r="E481">
        <v>7453</v>
      </c>
      <c r="G481" s="1">
        <v>0.62460000000000004</v>
      </c>
      <c r="I481" s="1">
        <v>0.37540000000000001</v>
      </c>
    </row>
    <row r="482" spans="1:9" x14ac:dyDescent="0.25">
      <c r="A482" t="s">
        <v>198</v>
      </c>
      <c r="B482" t="s">
        <v>292</v>
      </c>
      <c r="C482">
        <v>45</v>
      </c>
      <c r="D482" t="s">
        <v>201</v>
      </c>
      <c r="E482">
        <v>7453</v>
      </c>
      <c r="G482" s="1">
        <v>0.70499999999999996</v>
      </c>
      <c r="I482" s="1">
        <v>0.29499999999999998</v>
      </c>
    </row>
    <row r="483" spans="1:9" x14ac:dyDescent="0.25">
      <c r="A483" t="s">
        <v>198</v>
      </c>
      <c r="B483" t="s">
        <v>291</v>
      </c>
      <c r="C483">
        <v>33</v>
      </c>
      <c r="D483" t="s">
        <v>201</v>
      </c>
      <c r="E483">
        <v>7453</v>
      </c>
      <c r="G483" s="1">
        <v>0.73729999999999996</v>
      </c>
      <c r="I483" s="1">
        <v>0.26269999999999999</v>
      </c>
    </row>
    <row r="484" spans="1:9" x14ac:dyDescent="0.25">
      <c r="A484" t="s">
        <v>198</v>
      </c>
      <c r="B484" t="s">
        <v>289</v>
      </c>
      <c r="C484">
        <v>62</v>
      </c>
      <c r="D484" t="s">
        <v>201</v>
      </c>
      <c r="E484">
        <v>7453</v>
      </c>
      <c r="G484" s="1">
        <v>0.9204</v>
      </c>
      <c r="I484" s="1">
        <v>7.9600000000000004E-2</v>
      </c>
    </row>
    <row r="485" spans="1:9" x14ac:dyDescent="0.25">
      <c r="A485" t="s">
        <v>198</v>
      </c>
      <c r="B485" t="s">
        <v>284</v>
      </c>
      <c r="C485">
        <v>41</v>
      </c>
      <c r="D485" t="s">
        <v>201</v>
      </c>
      <c r="E485">
        <v>7453</v>
      </c>
      <c r="G485" s="1">
        <v>0.36009999999999998</v>
      </c>
      <c r="I485" s="1">
        <v>0.63990000000000002</v>
      </c>
    </row>
    <row r="486" spans="1:9" x14ac:dyDescent="0.25">
      <c r="A486" t="s">
        <v>198</v>
      </c>
      <c r="B486" t="s">
        <v>286</v>
      </c>
      <c r="C486">
        <v>71</v>
      </c>
      <c r="D486" t="s">
        <v>201</v>
      </c>
      <c r="E486">
        <v>7453</v>
      </c>
      <c r="G486" s="1">
        <v>0.59640000000000004</v>
      </c>
      <c r="I486" s="1">
        <v>0.40360000000000001</v>
      </c>
    </row>
    <row r="487" spans="1:9" x14ac:dyDescent="0.25">
      <c r="A487" t="s">
        <v>198</v>
      </c>
      <c r="B487" t="s">
        <v>248</v>
      </c>
      <c r="C487">
        <v>132</v>
      </c>
      <c r="D487" t="s">
        <v>201</v>
      </c>
      <c r="E487">
        <v>7453</v>
      </c>
      <c r="G487" s="1">
        <v>0.43490000000000001</v>
      </c>
      <c r="I487" s="1">
        <v>0.56510000000000005</v>
      </c>
    </row>
    <row r="488" spans="1:9" x14ac:dyDescent="0.25">
      <c r="A488" t="s">
        <v>198</v>
      </c>
      <c r="B488" t="s">
        <v>287</v>
      </c>
      <c r="C488">
        <v>53</v>
      </c>
      <c r="D488" t="s">
        <v>201</v>
      </c>
      <c r="E488">
        <v>7453</v>
      </c>
      <c r="G488" s="1">
        <v>0.64280000000000004</v>
      </c>
      <c r="I488" s="1">
        <v>0.35720000000000002</v>
      </c>
    </row>
    <row r="489" spans="1:9" x14ac:dyDescent="0.25">
      <c r="A489" t="s">
        <v>198</v>
      </c>
      <c r="B489" t="s">
        <v>293</v>
      </c>
      <c r="C489">
        <v>72</v>
      </c>
      <c r="D489" t="s">
        <v>201</v>
      </c>
      <c r="E489">
        <v>7453</v>
      </c>
      <c r="G489" s="1">
        <v>0.61799999999999999</v>
      </c>
      <c r="I489" s="1">
        <v>0.38200000000000001</v>
      </c>
    </row>
    <row r="490" spans="1:9" x14ac:dyDescent="0.25">
      <c r="A490" t="s">
        <v>198</v>
      </c>
      <c r="B490" t="s">
        <v>283</v>
      </c>
      <c r="C490">
        <v>44</v>
      </c>
      <c r="D490" t="s">
        <v>201</v>
      </c>
      <c r="E490">
        <v>7453</v>
      </c>
      <c r="G490" s="1">
        <v>0.37890000000000001</v>
      </c>
      <c r="I490" s="1">
        <v>0.62109999999999999</v>
      </c>
    </row>
    <row r="491" spans="1:9" x14ac:dyDescent="0.25">
      <c r="A491" t="s">
        <v>198</v>
      </c>
      <c r="B491" t="s">
        <v>288</v>
      </c>
      <c r="C491">
        <v>65</v>
      </c>
      <c r="D491" t="s">
        <v>201</v>
      </c>
      <c r="E491">
        <v>7453</v>
      </c>
      <c r="G491" s="1">
        <v>0.58409999999999995</v>
      </c>
      <c r="I491" s="1">
        <v>0.41589999999999999</v>
      </c>
    </row>
    <row r="492" spans="1:9" s="29" customFormat="1" x14ac:dyDescent="0.25">
      <c r="A492" s="29" t="s">
        <v>198</v>
      </c>
      <c r="B492" s="29" t="s">
        <v>293</v>
      </c>
      <c r="C492" s="29">
        <v>21</v>
      </c>
      <c r="D492" s="29" t="s">
        <v>202</v>
      </c>
      <c r="E492" s="29">
        <v>7453</v>
      </c>
      <c r="G492" s="30">
        <v>0.6663</v>
      </c>
      <c r="I492" s="30">
        <v>0.3337</v>
      </c>
    </row>
    <row r="493" spans="1:9" s="29" customFormat="1" x14ac:dyDescent="0.25">
      <c r="A493" s="29" t="s">
        <v>198</v>
      </c>
      <c r="B493" s="29" t="s">
        <v>283</v>
      </c>
      <c r="C493" s="29">
        <v>19</v>
      </c>
      <c r="D493" s="29" t="s">
        <v>202</v>
      </c>
      <c r="E493" s="29">
        <v>7453</v>
      </c>
      <c r="G493" s="30">
        <v>0.51700000000000002</v>
      </c>
      <c r="I493" s="30">
        <v>0.48299999999999998</v>
      </c>
    </row>
    <row r="494" spans="1:9" s="29" customFormat="1" x14ac:dyDescent="0.25">
      <c r="A494" s="29" t="s">
        <v>198</v>
      </c>
      <c r="B494" s="29" t="s">
        <v>247</v>
      </c>
      <c r="C494" s="29">
        <v>10</v>
      </c>
      <c r="D494" s="29" t="s">
        <v>202</v>
      </c>
      <c r="E494" s="29">
        <v>7453</v>
      </c>
      <c r="G494" s="30">
        <v>0.56830000000000003</v>
      </c>
      <c r="I494" s="30">
        <v>0.43169999999999997</v>
      </c>
    </row>
    <row r="495" spans="1:9" s="29" customFormat="1" x14ac:dyDescent="0.25">
      <c r="A495" s="29" t="s">
        <v>198</v>
      </c>
      <c r="B495" s="29" t="s">
        <v>285</v>
      </c>
      <c r="C495" s="29">
        <v>13</v>
      </c>
      <c r="D495" s="29" t="s">
        <v>202</v>
      </c>
      <c r="E495" s="29">
        <v>7453</v>
      </c>
      <c r="G495" s="30">
        <v>0.41089999999999999</v>
      </c>
      <c r="I495" s="30">
        <v>0.58909999999999996</v>
      </c>
    </row>
    <row r="496" spans="1:9" s="29" customFormat="1" x14ac:dyDescent="0.25">
      <c r="A496" s="29" t="s">
        <v>198</v>
      </c>
      <c r="B496" s="29" t="s">
        <v>291</v>
      </c>
      <c r="C496" s="29">
        <v>16</v>
      </c>
      <c r="D496" s="29" t="s">
        <v>202</v>
      </c>
      <c r="E496" s="29">
        <v>7453</v>
      </c>
      <c r="G496" s="30">
        <v>0.76519999999999999</v>
      </c>
      <c r="I496" s="30">
        <v>0.23480000000000001</v>
      </c>
    </row>
    <row r="497" spans="1:9" s="29" customFormat="1" x14ac:dyDescent="0.25">
      <c r="A497" s="29" t="s">
        <v>198</v>
      </c>
      <c r="B497" s="29" t="s">
        <v>284</v>
      </c>
      <c r="C497" s="29">
        <v>15</v>
      </c>
      <c r="D497" s="29" t="s">
        <v>202</v>
      </c>
      <c r="E497" s="29">
        <v>7453</v>
      </c>
      <c r="G497" s="30">
        <v>0.33489999999999998</v>
      </c>
      <c r="I497" s="30">
        <v>0.66510000000000002</v>
      </c>
    </row>
    <row r="498" spans="1:9" x14ac:dyDescent="0.25">
      <c r="A498" t="s">
        <v>198</v>
      </c>
      <c r="B498" t="s">
        <v>248</v>
      </c>
      <c r="C498">
        <v>52</v>
      </c>
      <c r="D498" t="s">
        <v>202</v>
      </c>
      <c r="E498">
        <v>7453</v>
      </c>
      <c r="G498" s="1">
        <v>0.17730000000000001</v>
      </c>
      <c r="I498" s="1">
        <v>0.82269999999999999</v>
      </c>
    </row>
    <row r="499" spans="1:9" s="29" customFormat="1" x14ac:dyDescent="0.25">
      <c r="A499" s="29" t="s">
        <v>198</v>
      </c>
      <c r="B499" s="29" t="s">
        <v>286</v>
      </c>
      <c r="C499" s="29">
        <v>22</v>
      </c>
      <c r="D499" s="29" t="s">
        <v>202</v>
      </c>
      <c r="E499" s="29">
        <v>7453</v>
      </c>
      <c r="G499" s="30">
        <v>0.55520000000000003</v>
      </c>
      <c r="I499" s="30">
        <v>0.44479999999999997</v>
      </c>
    </row>
    <row r="500" spans="1:9" s="29" customFormat="1" x14ac:dyDescent="0.25">
      <c r="A500" s="29" t="s">
        <v>198</v>
      </c>
      <c r="B500" s="29" t="s">
        <v>287</v>
      </c>
      <c r="C500" s="29">
        <v>17</v>
      </c>
      <c r="D500" s="29" t="s">
        <v>202</v>
      </c>
      <c r="E500" s="29">
        <v>7453</v>
      </c>
      <c r="G500" s="30">
        <v>0.62470000000000003</v>
      </c>
      <c r="H500" s="30">
        <v>6.3200000000000006E-2</v>
      </c>
      <c r="I500" s="30">
        <v>0.31209999999999999</v>
      </c>
    </row>
    <row r="501" spans="1:9" s="29" customFormat="1" x14ac:dyDescent="0.25">
      <c r="A501" s="29" t="s">
        <v>198</v>
      </c>
      <c r="B501" s="29" t="s">
        <v>288</v>
      </c>
      <c r="C501" s="29">
        <v>18</v>
      </c>
      <c r="D501" s="29" t="s">
        <v>202</v>
      </c>
      <c r="E501" s="29">
        <v>7453</v>
      </c>
      <c r="G501" s="30">
        <v>0.56940000000000002</v>
      </c>
      <c r="I501" s="30">
        <v>0.43059999999999998</v>
      </c>
    </row>
    <row r="502" spans="1:9" s="29" customFormat="1" x14ac:dyDescent="0.25">
      <c r="A502" s="29" t="s">
        <v>198</v>
      </c>
      <c r="B502" s="29" t="s">
        <v>289</v>
      </c>
      <c r="C502" s="29">
        <v>19</v>
      </c>
      <c r="D502" s="29" t="s">
        <v>202</v>
      </c>
      <c r="E502" s="29">
        <v>7453</v>
      </c>
      <c r="G502" s="30">
        <v>0.52100000000000002</v>
      </c>
      <c r="I502" s="30">
        <v>0.47899999999999998</v>
      </c>
    </row>
    <row r="503" spans="1:9" s="29" customFormat="1" x14ac:dyDescent="0.25">
      <c r="A503" s="29" t="s">
        <v>198</v>
      </c>
      <c r="B503" s="29" t="s">
        <v>292</v>
      </c>
      <c r="C503" s="29">
        <v>9</v>
      </c>
      <c r="D503" s="29" t="s">
        <v>202</v>
      </c>
      <c r="E503" s="29">
        <v>7453</v>
      </c>
      <c r="G503" s="30">
        <v>0.71319999999999995</v>
      </c>
      <c r="I503" s="30">
        <v>0.2868</v>
      </c>
    </row>
    <row r="504" spans="1:9" s="29" customFormat="1" x14ac:dyDescent="0.25">
      <c r="A504" s="29" t="s">
        <v>198</v>
      </c>
      <c r="B504" s="29" t="s">
        <v>290</v>
      </c>
      <c r="C504" s="29">
        <v>14</v>
      </c>
      <c r="D504" s="29" t="s">
        <v>202</v>
      </c>
      <c r="E504" s="29">
        <v>7453</v>
      </c>
      <c r="G504" s="30">
        <v>0.69930000000000003</v>
      </c>
      <c r="I504" s="30">
        <v>0.30070000000000002</v>
      </c>
    </row>
    <row r="505" spans="1:9" x14ac:dyDescent="0.25">
      <c r="A505" t="s">
        <v>203</v>
      </c>
      <c r="B505" t="s">
        <v>285</v>
      </c>
      <c r="C505">
        <v>97</v>
      </c>
      <c r="D505" t="s">
        <v>199</v>
      </c>
      <c r="E505">
        <v>7453</v>
      </c>
      <c r="G505" s="1">
        <v>0.57320000000000004</v>
      </c>
      <c r="I505" s="1">
        <v>0.42680000000000001</v>
      </c>
    </row>
    <row r="506" spans="1:9" x14ac:dyDescent="0.25">
      <c r="A506" t="s">
        <v>203</v>
      </c>
      <c r="B506" t="s">
        <v>293</v>
      </c>
      <c r="C506">
        <v>175</v>
      </c>
      <c r="D506" t="s">
        <v>199</v>
      </c>
      <c r="E506">
        <v>7453</v>
      </c>
      <c r="G506" s="1">
        <v>0.52200000000000002</v>
      </c>
      <c r="I506" s="1">
        <v>0.47799999999999998</v>
      </c>
    </row>
    <row r="507" spans="1:9" x14ac:dyDescent="0.25">
      <c r="A507" t="s">
        <v>203</v>
      </c>
      <c r="B507" t="s">
        <v>283</v>
      </c>
      <c r="C507">
        <v>63</v>
      </c>
      <c r="D507" t="s">
        <v>199</v>
      </c>
      <c r="E507">
        <v>7453</v>
      </c>
      <c r="G507" s="1">
        <v>0.56240000000000001</v>
      </c>
      <c r="I507" s="1">
        <v>0.43759999999999999</v>
      </c>
    </row>
    <row r="508" spans="1:9" x14ac:dyDescent="0.25">
      <c r="A508" t="s">
        <v>203</v>
      </c>
      <c r="B508" t="s">
        <v>291</v>
      </c>
      <c r="C508">
        <v>90</v>
      </c>
      <c r="D508" t="s">
        <v>199</v>
      </c>
      <c r="E508">
        <v>7453</v>
      </c>
      <c r="G508" s="1">
        <v>0.8458</v>
      </c>
      <c r="I508" s="1">
        <v>0.1542</v>
      </c>
    </row>
    <row r="509" spans="1:9" x14ac:dyDescent="0.25">
      <c r="A509" t="s">
        <v>203</v>
      </c>
      <c r="B509" t="s">
        <v>286</v>
      </c>
      <c r="C509">
        <v>89</v>
      </c>
      <c r="D509" t="s">
        <v>199</v>
      </c>
      <c r="E509">
        <v>7453</v>
      </c>
      <c r="G509" s="1">
        <v>0.59299999999999997</v>
      </c>
      <c r="I509" s="1">
        <v>0.40699999999999997</v>
      </c>
    </row>
    <row r="510" spans="1:9" x14ac:dyDescent="0.25">
      <c r="A510" t="s">
        <v>203</v>
      </c>
      <c r="B510" t="s">
        <v>248</v>
      </c>
      <c r="C510">
        <v>210</v>
      </c>
      <c r="D510" t="s">
        <v>199</v>
      </c>
      <c r="E510">
        <v>7453</v>
      </c>
      <c r="G510" s="1">
        <v>0.36009999999999998</v>
      </c>
      <c r="I510" s="1">
        <v>0.63990000000000002</v>
      </c>
    </row>
    <row r="511" spans="1:9" x14ac:dyDescent="0.25">
      <c r="A511" t="s">
        <v>203</v>
      </c>
      <c r="B511" t="s">
        <v>284</v>
      </c>
      <c r="C511">
        <v>78</v>
      </c>
      <c r="D511" t="s">
        <v>199</v>
      </c>
      <c r="E511">
        <v>7453</v>
      </c>
      <c r="G511" s="1">
        <v>0.4924</v>
      </c>
      <c r="I511" s="1">
        <v>0.50760000000000005</v>
      </c>
    </row>
    <row r="512" spans="1:9" x14ac:dyDescent="0.25">
      <c r="A512" t="s">
        <v>203</v>
      </c>
      <c r="B512" t="s">
        <v>247</v>
      </c>
      <c r="C512">
        <v>76</v>
      </c>
      <c r="D512" t="s">
        <v>199</v>
      </c>
      <c r="E512">
        <v>7453</v>
      </c>
      <c r="G512" s="1">
        <v>0.63390000000000002</v>
      </c>
      <c r="I512" s="1">
        <v>0.36609999999999998</v>
      </c>
    </row>
    <row r="513" spans="1:9" x14ac:dyDescent="0.25">
      <c r="A513" t="s">
        <v>203</v>
      </c>
      <c r="B513" t="s">
        <v>287</v>
      </c>
      <c r="C513">
        <v>133</v>
      </c>
      <c r="D513" t="s">
        <v>199</v>
      </c>
      <c r="E513">
        <v>7453</v>
      </c>
      <c r="G513" s="1">
        <v>0.69269999999999998</v>
      </c>
      <c r="H513" s="1">
        <v>4.1000000000000003E-3</v>
      </c>
      <c r="I513" s="1">
        <v>0.30320000000000003</v>
      </c>
    </row>
    <row r="514" spans="1:9" x14ac:dyDescent="0.25">
      <c r="A514" t="s">
        <v>203</v>
      </c>
      <c r="B514" t="s">
        <v>292</v>
      </c>
      <c r="C514">
        <v>115</v>
      </c>
      <c r="D514" t="s">
        <v>199</v>
      </c>
      <c r="E514">
        <v>7453</v>
      </c>
      <c r="F514" s="1">
        <v>3.8E-3</v>
      </c>
      <c r="G514" s="1">
        <v>0.61829999999999996</v>
      </c>
      <c r="I514" s="1">
        <v>0.37790000000000001</v>
      </c>
    </row>
    <row r="515" spans="1:9" x14ac:dyDescent="0.25">
      <c r="A515" t="s">
        <v>203</v>
      </c>
      <c r="B515" t="s">
        <v>289</v>
      </c>
      <c r="C515">
        <v>170</v>
      </c>
      <c r="D515" t="s">
        <v>199</v>
      </c>
      <c r="E515">
        <v>7453</v>
      </c>
      <c r="G515" s="1">
        <v>0.76190000000000002</v>
      </c>
      <c r="I515" s="1">
        <v>0.23810000000000001</v>
      </c>
    </row>
    <row r="516" spans="1:9" x14ac:dyDescent="0.25">
      <c r="A516" t="s">
        <v>203</v>
      </c>
      <c r="B516" t="s">
        <v>290</v>
      </c>
      <c r="C516">
        <v>35</v>
      </c>
      <c r="D516" t="s">
        <v>199</v>
      </c>
      <c r="E516">
        <v>7453</v>
      </c>
      <c r="G516" s="1">
        <v>0.56259999999999999</v>
      </c>
      <c r="I516" s="1">
        <v>0.43740000000000001</v>
      </c>
    </row>
    <row r="517" spans="1:9" x14ac:dyDescent="0.25">
      <c r="A517" t="s">
        <v>203</v>
      </c>
      <c r="B517" t="s">
        <v>288</v>
      </c>
      <c r="C517">
        <v>149</v>
      </c>
      <c r="D517" t="s">
        <v>199</v>
      </c>
      <c r="E517">
        <v>7453</v>
      </c>
      <c r="F517" s="1">
        <v>2.2000000000000001E-3</v>
      </c>
      <c r="G517" s="1">
        <v>0.76019999999999999</v>
      </c>
      <c r="H517" s="1">
        <v>4.0000000000000001E-3</v>
      </c>
      <c r="I517" s="1">
        <v>0.2336</v>
      </c>
    </row>
    <row r="518" spans="1:9" x14ac:dyDescent="0.25">
      <c r="A518" t="s">
        <v>203</v>
      </c>
      <c r="B518" t="s">
        <v>248</v>
      </c>
      <c r="C518">
        <v>200</v>
      </c>
      <c r="D518" t="s">
        <v>200</v>
      </c>
      <c r="E518">
        <v>7453</v>
      </c>
      <c r="G518" s="1">
        <v>0.35930000000000001</v>
      </c>
      <c r="I518" s="1">
        <v>0.64070000000000005</v>
      </c>
    </row>
    <row r="519" spans="1:9" x14ac:dyDescent="0.25">
      <c r="A519" t="s">
        <v>203</v>
      </c>
      <c r="B519" t="s">
        <v>287</v>
      </c>
      <c r="C519">
        <v>89</v>
      </c>
      <c r="D519" t="s">
        <v>200</v>
      </c>
      <c r="E519">
        <v>7453</v>
      </c>
      <c r="F519" s="1">
        <v>3.7000000000000002E-3</v>
      </c>
      <c r="G519" s="1">
        <v>0.67669999999999997</v>
      </c>
      <c r="I519" s="1">
        <v>0.3196</v>
      </c>
    </row>
    <row r="520" spans="1:9" x14ac:dyDescent="0.25">
      <c r="A520" t="s">
        <v>203</v>
      </c>
      <c r="B520" t="s">
        <v>286</v>
      </c>
      <c r="C520">
        <v>126</v>
      </c>
      <c r="D520" t="s">
        <v>200</v>
      </c>
      <c r="E520">
        <v>7453</v>
      </c>
      <c r="G520" s="1">
        <v>0.38929999999999998</v>
      </c>
      <c r="I520" s="1">
        <v>0.61070000000000002</v>
      </c>
    </row>
    <row r="521" spans="1:9" x14ac:dyDescent="0.25">
      <c r="A521" t="s">
        <v>203</v>
      </c>
      <c r="B521" t="s">
        <v>284</v>
      </c>
      <c r="C521">
        <v>66</v>
      </c>
      <c r="D521" t="s">
        <v>200</v>
      </c>
      <c r="E521">
        <v>7453</v>
      </c>
      <c r="F521" s="1">
        <v>1.5100000000000001E-2</v>
      </c>
      <c r="G521" s="1">
        <v>0.5554</v>
      </c>
      <c r="I521" s="1">
        <v>0.42949999999999999</v>
      </c>
    </row>
    <row r="522" spans="1:9" x14ac:dyDescent="0.25">
      <c r="A522" t="s">
        <v>203</v>
      </c>
      <c r="B522" t="s">
        <v>288</v>
      </c>
      <c r="C522">
        <v>165</v>
      </c>
      <c r="D522" t="s">
        <v>200</v>
      </c>
      <c r="E522">
        <v>7453</v>
      </c>
      <c r="G522" s="1">
        <v>0.63929999999999998</v>
      </c>
      <c r="I522" s="1">
        <v>0.36070000000000002</v>
      </c>
    </row>
    <row r="523" spans="1:9" x14ac:dyDescent="0.25">
      <c r="A523" t="s">
        <v>203</v>
      </c>
      <c r="B523" t="s">
        <v>283</v>
      </c>
      <c r="C523">
        <v>104</v>
      </c>
      <c r="D523" t="s">
        <v>200</v>
      </c>
      <c r="E523">
        <v>7453</v>
      </c>
      <c r="G523" s="1">
        <v>0.29060000000000002</v>
      </c>
      <c r="I523" s="1">
        <v>0.70940000000000003</v>
      </c>
    </row>
    <row r="524" spans="1:9" x14ac:dyDescent="0.25">
      <c r="A524" t="s">
        <v>203</v>
      </c>
      <c r="B524" t="s">
        <v>293</v>
      </c>
      <c r="C524">
        <v>125</v>
      </c>
      <c r="D524" t="s">
        <v>200</v>
      </c>
      <c r="E524">
        <v>7453</v>
      </c>
      <c r="G524" s="1">
        <v>0.65080000000000005</v>
      </c>
      <c r="I524" s="1">
        <v>0.34920000000000001</v>
      </c>
    </row>
    <row r="525" spans="1:9" x14ac:dyDescent="0.25">
      <c r="A525" t="s">
        <v>203</v>
      </c>
      <c r="B525" t="s">
        <v>292</v>
      </c>
      <c r="C525">
        <v>119</v>
      </c>
      <c r="D525" t="s">
        <v>200</v>
      </c>
      <c r="E525">
        <v>7453</v>
      </c>
      <c r="G525" s="1">
        <v>0.69359999999999999</v>
      </c>
      <c r="I525" s="1">
        <v>0.30640000000000001</v>
      </c>
    </row>
    <row r="526" spans="1:9" x14ac:dyDescent="0.25">
      <c r="A526" t="s">
        <v>203</v>
      </c>
      <c r="B526" t="s">
        <v>247</v>
      </c>
      <c r="C526">
        <v>59</v>
      </c>
      <c r="D526" t="s">
        <v>200</v>
      </c>
      <c r="E526">
        <v>7453</v>
      </c>
      <c r="G526" s="1">
        <v>0.8589</v>
      </c>
      <c r="I526" s="1">
        <v>0.1411</v>
      </c>
    </row>
    <row r="527" spans="1:9" x14ac:dyDescent="0.25">
      <c r="A527" t="s">
        <v>203</v>
      </c>
      <c r="B527" t="s">
        <v>290</v>
      </c>
      <c r="C527">
        <v>77</v>
      </c>
      <c r="D527" t="s">
        <v>200</v>
      </c>
      <c r="E527">
        <v>7453</v>
      </c>
      <c r="G527" s="1">
        <v>0.79410000000000003</v>
      </c>
      <c r="I527" s="1">
        <v>0.2059</v>
      </c>
    </row>
    <row r="528" spans="1:9" x14ac:dyDescent="0.25">
      <c r="A528" t="s">
        <v>203</v>
      </c>
      <c r="B528" t="s">
        <v>291</v>
      </c>
      <c r="C528">
        <v>73</v>
      </c>
      <c r="D528" t="s">
        <v>200</v>
      </c>
      <c r="E528">
        <v>7453</v>
      </c>
      <c r="G528" s="1">
        <v>0.79249999999999998</v>
      </c>
      <c r="I528" s="1">
        <v>0.20749999999999999</v>
      </c>
    </row>
    <row r="529" spans="1:9" x14ac:dyDescent="0.25">
      <c r="A529" t="s">
        <v>203</v>
      </c>
      <c r="B529" t="s">
        <v>285</v>
      </c>
      <c r="C529">
        <v>66</v>
      </c>
      <c r="D529" t="s">
        <v>200</v>
      </c>
      <c r="E529">
        <v>7453</v>
      </c>
      <c r="F529" s="1">
        <v>1E-3</v>
      </c>
      <c r="G529" s="1">
        <v>0.60189999999999999</v>
      </c>
      <c r="I529" s="1">
        <v>0.39710000000000001</v>
      </c>
    </row>
    <row r="530" spans="1:9" x14ac:dyDescent="0.25">
      <c r="A530" t="s">
        <v>203</v>
      </c>
      <c r="B530" t="s">
        <v>289</v>
      </c>
      <c r="C530">
        <v>189</v>
      </c>
      <c r="D530" t="s">
        <v>200</v>
      </c>
      <c r="E530">
        <v>7453</v>
      </c>
      <c r="G530" s="1">
        <v>0.61829999999999996</v>
      </c>
      <c r="I530" s="1">
        <v>0.38169999999999998</v>
      </c>
    </row>
    <row r="531" spans="1:9" x14ac:dyDescent="0.25">
      <c r="A531" t="s">
        <v>203</v>
      </c>
      <c r="B531" t="s">
        <v>289</v>
      </c>
      <c r="C531">
        <v>96</v>
      </c>
      <c r="D531" t="s">
        <v>201</v>
      </c>
      <c r="E531">
        <v>7453</v>
      </c>
      <c r="G531" s="1">
        <v>0.64129999999999998</v>
      </c>
      <c r="I531" s="1">
        <v>0.35870000000000002</v>
      </c>
    </row>
    <row r="532" spans="1:9" x14ac:dyDescent="0.25">
      <c r="A532" t="s">
        <v>203</v>
      </c>
      <c r="B532" t="s">
        <v>288</v>
      </c>
      <c r="C532">
        <v>80</v>
      </c>
      <c r="D532" t="s">
        <v>201</v>
      </c>
      <c r="E532">
        <v>7453</v>
      </c>
      <c r="G532" s="1">
        <v>0.75739999999999996</v>
      </c>
      <c r="I532" s="1">
        <v>0.24260000000000001</v>
      </c>
    </row>
    <row r="533" spans="1:9" x14ac:dyDescent="0.25">
      <c r="A533" t="s">
        <v>203</v>
      </c>
      <c r="B533" t="s">
        <v>290</v>
      </c>
      <c r="C533">
        <v>34</v>
      </c>
      <c r="D533" t="s">
        <v>201</v>
      </c>
      <c r="E533">
        <v>7453</v>
      </c>
      <c r="G533" s="1">
        <v>0.78410000000000002</v>
      </c>
      <c r="I533" s="1">
        <v>0.21590000000000001</v>
      </c>
    </row>
    <row r="534" spans="1:9" x14ac:dyDescent="0.25">
      <c r="A534" t="s">
        <v>203</v>
      </c>
      <c r="B534" t="s">
        <v>285</v>
      </c>
      <c r="C534">
        <v>62</v>
      </c>
      <c r="D534" t="s">
        <v>201</v>
      </c>
      <c r="E534">
        <v>7453</v>
      </c>
      <c r="G534" s="1">
        <v>0.57850000000000001</v>
      </c>
      <c r="I534" s="1">
        <v>0.42149999999999999</v>
      </c>
    </row>
    <row r="535" spans="1:9" x14ac:dyDescent="0.25">
      <c r="A535" t="s">
        <v>203</v>
      </c>
      <c r="B535" t="s">
        <v>291</v>
      </c>
      <c r="C535">
        <v>48</v>
      </c>
      <c r="D535" t="s">
        <v>201</v>
      </c>
      <c r="E535">
        <v>7453</v>
      </c>
      <c r="G535" s="1">
        <v>0.74590000000000001</v>
      </c>
      <c r="I535" s="1">
        <v>0.25409999999999999</v>
      </c>
    </row>
    <row r="536" spans="1:9" x14ac:dyDescent="0.25">
      <c r="A536" t="s">
        <v>203</v>
      </c>
      <c r="B536" t="s">
        <v>286</v>
      </c>
      <c r="C536">
        <v>73</v>
      </c>
      <c r="D536" t="s">
        <v>201</v>
      </c>
      <c r="E536">
        <v>7453</v>
      </c>
      <c r="G536" s="1">
        <v>0.42549999999999999</v>
      </c>
      <c r="I536" s="1">
        <v>0.57450000000000001</v>
      </c>
    </row>
    <row r="537" spans="1:9" x14ac:dyDescent="0.25">
      <c r="A537" t="s">
        <v>203</v>
      </c>
      <c r="B537" t="s">
        <v>292</v>
      </c>
      <c r="C537">
        <v>61</v>
      </c>
      <c r="D537" t="s">
        <v>201</v>
      </c>
      <c r="E537">
        <v>7453</v>
      </c>
      <c r="G537" s="1">
        <v>0.80289999999999995</v>
      </c>
      <c r="I537" s="1">
        <v>0.1971</v>
      </c>
    </row>
    <row r="538" spans="1:9" x14ac:dyDescent="0.25">
      <c r="A538" t="s">
        <v>203</v>
      </c>
      <c r="B538" t="s">
        <v>247</v>
      </c>
      <c r="C538">
        <v>44</v>
      </c>
      <c r="D538" t="s">
        <v>201</v>
      </c>
      <c r="E538">
        <v>7453</v>
      </c>
      <c r="G538" s="1">
        <v>0.64939999999999998</v>
      </c>
      <c r="I538" s="1">
        <v>0.35060000000000002</v>
      </c>
    </row>
    <row r="539" spans="1:9" x14ac:dyDescent="0.25">
      <c r="A539" t="s">
        <v>203</v>
      </c>
      <c r="B539" t="s">
        <v>248</v>
      </c>
      <c r="C539">
        <v>149</v>
      </c>
      <c r="D539" t="s">
        <v>201</v>
      </c>
      <c r="E539">
        <v>7453</v>
      </c>
      <c r="F539" s="1">
        <v>3.8E-3</v>
      </c>
      <c r="G539" s="1">
        <v>0.37180000000000002</v>
      </c>
      <c r="I539" s="1">
        <v>0.62439999999999996</v>
      </c>
    </row>
    <row r="540" spans="1:9" x14ac:dyDescent="0.25">
      <c r="A540" t="s">
        <v>203</v>
      </c>
      <c r="B540" t="s">
        <v>283</v>
      </c>
      <c r="C540">
        <v>39</v>
      </c>
      <c r="D540" t="s">
        <v>201</v>
      </c>
      <c r="E540">
        <v>7453</v>
      </c>
      <c r="G540" s="1">
        <v>0.64600000000000002</v>
      </c>
      <c r="I540" s="1">
        <v>0.35399999999999998</v>
      </c>
    </row>
    <row r="541" spans="1:9" x14ac:dyDescent="0.25">
      <c r="A541" t="s">
        <v>203</v>
      </c>
      <c r="B541" t="s">
        <v>284</v>
      </c>
      <c r="C541">
        <v>64</v>
      </c>
      <c r="D541" t="s">
        <v>201</v>
      </c>
      <c r="E541">
        <v>7453</v>
      </c>
      <c r="G541" s="1">
        <v>0.435</v>
      </c>
      <c r="H541" s="1">
        <v>4.2500000000000003E-2</v>
      </c>
      <c r="I541" s="1">
        <v>0.52249999999999996</v>
      </c>
    </row>
    <row r="542" spans="1:9" x14ac:dyDescent="0.25">
      <c r="A542" t="s">
        <v>203</v>
      </c>
      <c r="B542" t="s">
        <v>293</v>
      </c>
      <c r="C542">
        <v>91</v>
      </c>
      <c r="D542" t="s">
        <v>201</v>
      </c>
      <c r="E542">
        <v>7453</v>
      </c>
      <c r="G542" s="1">
        <v>0.70409999999999995</v>
      </c>
      <c r="I542" s="1">
        <v>0.2959</v>
      </c>
    </row>
    <row r="543" spans="1:9" x14ac:dyDescent="0.25">
      <c r="A543" t="s">
        <v>203</v>
      </c>
      <c r="B543" t="s">
        <v>287</v>
      </c>
      <c r="C543">
        <v>79</v>
      </c>
      <c r="D543" t="s">
        <v>201</v>
      </c>
      <c r="E543">
        <v>7453</v>
      </c>
      <c r="G543" s="1">
        <v>0.73180000000000001</v>
      </c>
      <c r="H543" s="1">
        <v>5.7999999999999996E-3</v>
      </c>
      <c r="I543" s="1">
        <v>0.26240000000000002</v>
      </c>
    </row>
    <row r="544" spans="1:9" x14ac:dyDescent="0.25">
      <c r="A544" t="s">
        <v>203</v>
      </c>
      <c r="B544" t="s">
        <v>248</v>
      </c>
      <c r="C544">
        <v>31</v>
      </c>
      <c r="D544" t="s">
        <v>202</v>
      </c>
      <c r="E544">
        <v>7453</v>
      </c>
      <c r="G544" s="1">
        <v>0.32279999999999998</v>
      </c>
      <c r="I544" s="1">
        <v>0.67720000000000002</v>
      </c>
    </row>
    <row r="545" spans="1:9" s="29" customFormat="1" x14ac:dyDescent="0.25">
      <c r="A545" s="29" t="s">
        <v>203</v>
      </c>
      <c r="B545" s="29" t="s">
        <v>286</v>
      </c>
      <c r="C545" s="29">
        <v>23</v>
      </c>
      <c r="D545" s="29" t="s">
        <v>202</v>
      </c>
      <c r="E545" s="29">
        <v>7453</v>
      </c>
      <c r="G545" s="30">
        <v>0.15310000000000001</v>
      </c>
      <c r="I545" s="30">
        <v>0.84689999999999999</v>
      </c>
    </row>
    <row r="546" spans="1:9" s="29" customFormat="1" x14ac:dyDescent="0.25">
      <c r="A546" s="29" t="s">
        <v>203</v>
      </c>
      <c r="B546" s="29" t="s">
        <v>285</v>
      </c>
      <c r="C546" s="29">
        <v>15</v>
      </c>
      <c r="D546" s="29" t="s">
        <v>202</v>
      </c>
      <c r="E546" s="29">
        <v>7453</v>
      </c>
      <c r="F546" s="30">
        <v>0.14119999999999999</v>
      </c>
      <c r="G546" s="30">
        <v>0.63619999999999999</v>
      </c>
      <c r="I546" s="30">
        <v>0.2225</v>
      </c>
    </row>
    <row r="547" spans="1:9" s="29" customFormat="1" x14ac:dyDescent="0.25">
      <c r="A547" s="29" t="s">
        <v>203</v>
      </c>
      <c r="B547" s="29" t="s">
        <v>284</v>
      </c>
      <c r="C547" s="29">
        <v>10</v>
      </c>
      <c r="D547" s="29" t="s">
        <v>202</v>
      </c>
      <c r="E547" s="29">
        <v>7453</v>
      </c>
      <c r="F547" s="30">
        <v>5.0700000000000002E-2</v>
      </c>
      <c r="G547" s="30">
        <v>0.27379999999999999</v>
      </c>
      <c r="I547" s="30">
        <v>0.67549999999999999</v>
      </c>
    </row>
    <row r="548" spans="1:9" s="29" customFormat="1" x14ac:dyDescent="0.25">
      <c r="A548" s="29" t="s">
        <v>203</v>
      </c>
      <c r="B548" s="29" t="s">
        <v>283</v>
      </c>
      <c r="C548" s="29">
        <v>17</v>
      </c>
      <c r="D548" s="29" t="s">
        <v>202</v>
      </c>
      <c r="E548" s="29">
        <v>7453</v>
      </c>
      <c r="G548" s="30">
        <v>0.3039</v>
      </c>
      <c r="I548" s="30">
        <v>0.69610000000000005</v>
      </c>
    </row>
    <row r="549" spans="1:9" s="29" customFormat="1" x14ac:dyDescent="0.25">
      <c r="A549" s="29" t="s">
        <v>203</v>
      </c>
      <c r="B549" s="29" t="s">
        <v>293</v>
      </c>
      <c r="C549" s="29">
        <v>29</v>
      </c>
      <c r="D549" s="29" t="s">
        <v>202</v>
      </c>
      <c r="E549" s="29">
        <v>7453</v>
      </c>
      <c r="G549" s="30">
        <v>0.38450000000000001</v>
      </c>
      <c r="I549" s="30">
        <v>0.61550000000000005</v>
      </c>
    </row>
    <row r="550" spans="1:9" s="29" customFormat="1" x14ac:dyDescent="0.25">
      <c r="A550" s="29" t="s">
        <v>203</v>
      </c>
      <c r="B550" s="29" t="s">
        <v>287</v>
      </c>
      <c r="C550" s="29">
        <v>21</v>
      </c>
      <c r="D550" s="29" t="s">
        <v>202</v>
      </c>
      <c r="E550" s="29">
        <v>7453</v>
      </c>
      <c r="G550" s="30">
        <v>0.38600000000000001</v>
      </c>
      <c r="H550" s="30">
        <v>5.21E-2</v>
      </c>
      <c r="I550" s="30">
        <v>0.56189999999999996</v>
      </c>
    </row>
    <row r="551" spans="1:9" s="29" customFormat="1" x14ac:dyDescent="0.25">
      <c r="A551" s="29" t="s">
        <v>203</v>
      </c>
      <c r="B551" s="29" t="s">
        <v>247</v>
      </c>
      <c r="C551" s="29">
        <v>18</v>
      </c>
      <c r="D551" s="29" t="s">
        <v>202</v>
      </c>
      <c r="E551" s="29">
        <v>7453</v>
      </c>
      <c r="G551" s="30">
        <v>0.56259999999999999</v>
      </c>
      <c r="I551" s="30">
        <v>0.43740000000000001</v>
      </c>
    </row>
    <row r="552" spans="1:9" s="29" customFormat="1" x14ac:dyDescent="0.25">
      <c r="A552" s="29" t="s">
        <v>203</v>
      </c>
      <c r="B552" s="29" t="s">
        <v>290</v>
      </c>
      <c r="C552" s="29">
        <v>13</v>
      </c>
      <c r="D552" s="29" t="s">
        <v>202</v>
      </c>
      <c r="E552" s="29">
        <v>7453</v>
      </c>
      <c r="F552" s="30">
        <v>8.1299999999999997E-2</v>
      </c>
      <c r="G552" s="30">
        <v>0.46229999999999999</v>
      </c>
      <c r="I552" s="30">
        <v>0.45639999999999997</v>
      </c>
    </row>
    <row r="553" spans="1:9" s="29" customFormat="1" x14ac:dyDescent="0.25">
      <c r="A553" s="29" t="s">
        <v>203</v>
      </c>
      <c r="B553" s="29" t="s">
        <v>292</v>
      </c>
      <c r="C553" s="29">
        <v>16</v>
      </c>
      <c r="D553" s="29" t="s">
        <v>202</v>
      </c>
      <c r="E553" s="29">
        <v>7453</v>
      </c>
      <c r="G553" s="30">
        <v>0.36820000000000003</v>
      </c>
      <c r="I553" s="30">
        <v>0.63180000000000003</v>
      </c>
    </row>
    <row r="554" spans="1:9" x14ac:dyDescent="0.25">
      <c r="A554" t="s">
        <v>203</v>
      </c>
      <c r="B554" t="s">
        <v>289</v>
      </c>
      <c r="C554">
        <v>38</v>
      </c>
      <c r="D554" t="s">
        <v>202</v>
      </c>
      <c r="E554">
        <v>7453</v>
      </c>
      <c r="G554" s="1">
        <v>0.57820000000000005</v>
      </c>
      <c r="I554" s="1">
        <v>0.42180000000000001</v>
      </c>
    </row>
    <row r="555" spans="1:9" s="29" customFormat="1" x14ac:dyDescent="0.25">
      <c r="A555" s="29" t="s">
        <v>203</v>
      </c>
      <c r="B555" s="29" t="s">
        <v>288</v>
      </c>
      <c r="C555" s="29">
        <v>18</v>
      </c>
      <c r="D555" s="29" t="s">
        <v>202</v>
      </c>
      <c r="E555" s="29">
        <v>7453</v>
      </c>
      <c r="G555" s="30">
        <v>0.80730000000000002</v>
      </c>
      <c r="H555" s="30">
        <v>2.8799999999999999E-2</v>
      </c>
      <c r="I555" s="30">
        <v>0.16389999999999999</v>
      </c>
    </row>
    <row r="556" spans="1:9" s="29" customFormat="1" x14ac:dyDescent="0.25">
      <c r="A556" s="29" t="s">
        <v>203</v>
      </c>
      <c r="B556" s="29" t="s">
        <v>291</v>
      </c>
      <c r="C556" s="29">
        <v>13</v>
      </c>
      <c r="D556" s="29" t="s">
        <v>202</v>
      </c>
      <c r="E556" s="29">
        <v>7453</v>
      </c>
      <c r="G556" s="30">
        <v>0.59770000000000001</v>
      </c>
      <c r="I556" s="30">
        <v>0.40229999999999999</v>
      </c>
    </row>
    <row r="557" spans="1:9" x14ac:dyDescent="0.25">
      <c r="A557" t="s">
        <v>204</v>
      </c>
      <c r="B557" t="s">
        <v>204</v>
      </c>
      <c r="C557">
        <v>7453</v>
      </c>
      <c r="D557" t="s">
        <v>204</v>
      </c>
      <c r="E557">
        <v>7453</v>
      </c>
      <c r="F557" s="1">
        <v>2.0999999999999999E-3</v>
      </c>
      <c r="G557" s="1">
        <v>0.57220000000000004</v>
      </c>
      <c r="H557" s="1">
        <v>1.1999999999999999E-3</v>
      </c>
      <c r="I557" s="1">
        <v>0.42459999999999998</v>
      </c>
    </row>
    <row r="559" spans="1:9" x14ac:dyDescent="0.25">
      <c r="A559" t="s">
        <v>294</v>
      </c>
    </row>
    <row r="560" spans="1:9" x14ac:dyDescent="0.25">
      <c r="A560" t="s">
        <v>190</v>
      </c>
      <c r="B560" t="s">
        <v>206</v>
      </c>
      <c r="C560" t="s">
        <v>195</v>
      </c>
      <c r="D560" t="s">
        <v>189</v>
      </c>
      <c r="E560" t="s">
        <v>196</v>
      </c>
      <c r="F560" t="s">
        <v>220</v>
      </c>
      <c r="G560" t="s">
        <v>207</v>
      </c>
      <c r="H560" t="s">
        <v>215</v>
      </c>
      <c r="I560" t="s">
        <v>208</v>
      </c>
    </row>
    <row r="561" spans="1:9" x14ac:dyDescent="0.25">
      <c r="A561" t="s">
        <v>198</v>
      </c>
      <c r="B561" t="s">
        <v>228</v>
      </c>
      <c r="C561">
        <v>90</v>
      </c>
      <c r="D561" t="s">
        <v>197</v>
      </c>
      <c r="E561">
        <v>7453</v>
      </c>
      <c r="G561" s="1">
        <v>0.57410000000000005</v>
      </c>
      <c r="I561" s="1">
        <v>0.4259</v>
      </c>
    </row>
    <row r="562" spans="1:9" x14ac:dyDescent="0.25">
      <c r="A562" t="s">
        <v>198</v>
      </c>
      <c r="B562" t="s">
        <v>229</v>
      </c>
      <c r="C562">
        <v>123</v>
      </c>
      <c r="D562" t="s">
        <v>197</v>
      </c>
      <c r="E562">
        <v>7453</v>
      </c>
      <c r="G562" s="1">
        <v>0.46820000000000001</v>
      </c>
      <c r="I562" s="1">
        <v>0.53180000000000005</v>
      </c>
    </row>
    <row r="563" spans="1:9" x14ac:dyDescent="0.25">
      <c r="A563" t="s">
        <v>198</v>
      </c>
      <c r="B563" t="s">
        <v>228</v>
      </c>
      <c r="C563">
        <v>436</v>
      </c>
      <c r="D563" t="s">
        <v>199</v>
      </c>
      <c r="E563">
        <v>7453</v>
      </c>
      <c r="F563" s="1">
        <v>1.9E-3</v>
      </c>
      <c r="G563" s="1">
        <v>0.65490000000000004</v>
      </c>
      <c r="I563" s="1">
        <v>0.34329999999999999</v>
      </c>
    </row>
    <row r="564" spans="1:9" x14ac:dyDescent="0.25">
      <c r="A564" t="s">
        <v>198</v>
      </c>
      <c r="B564" t="s">
        <v>229</v>
      </c>
      <c r="C564">
        <v>574</v>
      </c>
      <c r="D564" t="s">
        <v>199</v>
      </c>
      <c r="E564">
        <v>7453</v>
      </c>
      <c r="G564" s="1">
        <v>0.57879999999999998</v>
      </c>
      <c r="I564" s="1">
        <v>0.42120000000000002</v>
      </c>
    </row>
    <row r="565" spans="1:9" x14ac:dyDescent="0.25">
      <c r="A565" t="s">
        <v>198</v>
      </c>
      <c r="B565" t="s">
        <v>229</v>
      </c>
      <c r="C565">
        <v>749</v>
      </c>
      <c r="D565" t="s">
        <v>200</v>
      </c>
      <c r="E565">
        <v>7453</v>
      </c>
      <c r="F565" s="1">
        <v>5.7000000000000002E-3</v>
      </c>
      <c r="G565" s="1">
        <v>0.59430000000000005</v>
      </c>
      <c r="H565" s="1">
        <v>2.8999999999999998E-3</v>
      </c>
      <c r="I565" s="1">
        <v>0.39710000000000001</v>
      </c>
    </row>
    <row r="566" spans="1:9" x14ac:dyDescent="0.25">
      <c r="A566" t="s">
        <v>198</v>
      </c>
      <c r="B566" t="s">
        <v>228</v>
      </c>
      <c r="C566">
        <v>333</v>
      </c>
      <c r="D566" t="s">
        <v>200</v>
      </c>
      <c r="E566">
        <v>7453</v>
      </c>
      <c r="F566" s="1">
        <v>8.6E-3</v>
      </c>
      <c r="G566" s="1">
        <v>0.52410000000000001</v>
      </c>
      <c r="I566" s="1">
        <v>0.46739999999999998</v>
      </c>
    </row>
    <row r="567" spans="1:9" x14ac:dyDescent="0.25">
      <c r="A567" t="s">
        <v>198</v>
      </c>
      <c r="B567" t="s">
        <v>228</v>
      </c>
      <c r="C567">
        <v>288</v>
      </c>
      <c r="D567" t="s">
        <v>201</v>
      </c>
      <c r="E567">
        <v>7453</v>
      </c>
      <c r="G567" s="1">
        <v>0.74029999999999996</v>
      </c>
      <c r="I567" s="1">
        <v>0.25969999999999999</v>
      </c>
    </row>
    <row r="568" spans="1:9" x14ac:dyDescent="0.25">
      <c r="A568" t="s">
        <v>198</v>
      </c>
      <c r="B568" t="s">
        <v>229</v>
      </c>
      <c r="C568">
        <v>433</v>
      </c>
      <c r="D568" t="s">
        <v>201</v>
      </c>
      <c r="E568">
        <v>7453</v>
      </c>
      <c r="G568" s="1">
        <v>0.54039999999999999</v>
      </c>
      <c r="I568" s="1">
        <v>0.45960000000000001</v>
      </c>
    </row>
    <row r="569" spans="1:9" x14ac:dyDescent="0.25">
      <c r="A569" t="s">
        <v>198</v>
      </c>
      <c r="B569" t="s">
        <v>228</v>
      </c>
      <c r="C569">
        <v>85</v>
      </c>
      <c r="D569" t="s">
        <v>202</v>
      </c>
      <c r="E569">
        <v>7453</v>
      </c>
      <c r="G569" s="1">
        <v>0.57869999999999999</v>
      </c>
      <c r="I569" s="1">
        <v>0.42130000000000001</v>
      </c>
    </row>
    <row r="570" spans="1:9" x14ac:dyDescent="0.25">
      <c r="A570" t="s">
        <v>198</v>
      </c>
      <c r="B570" t="s">
        <v>229</v>
      </c>
      <c r="C570">
        <v>160</v>
      </c>
      <c r="D570" t="s">
        <v>202</v>
      </c>
      <c r="E570">
        <v>7453</v>
      </c>
      <c r="G570" s="1">
        <v>0.49640000000000001</v>
      </c>
      <c r="H570" s="1">
        <v>5.0000000000000001E-3</v>
      </c>
      <c r="I570" s="1">
        <v>0.49859999999999999</v>
      </c>
    </row>
    <row r="571" spans="1:9" x14ac:dyDescent="0.25">
      <c r="A571" t="s">
        <v>203</v>
      </c>
      <c r="B571" t="s">
        <v>229</v>
      </c>
      <c r="C571">
        <v>982</v>
      </c>
      <c r="D571" t="s">
        <v>199</v>
      </c>
      <c r="E571">
        <v>7453</v>
      </c>
      <c r="G571" s="1">
        <v>0.62880000000000003</v>
      </c>
      <c r="H571" s="1">
        <v>8.0000000000000004E-4</v>
      </c>
      <c r="I571" s="1">
        <v>0.37040000000000001</v>
      </c>
    </row>
    <row r="572" spans="1:9" x14ac:dyDescent="0.25">
      <c r="A572" t="s">
        <v>203</v>
      </c>
      <c r="B572" t="s">
        <v>228</v>
      </c>
      <c r="C572">
        <v>469</v>
      </c>
      <c r="D572" t="s">
        <v>199</v>
      </c>
      <c r="E572">
        <v>7453</v>
      </c>
      <c r="F572" s="1">
        <v>4.4999999999999997E-3</v>
      </c>
      <c r="G572" s="1">
        <v>0.4884</v>
      </c>
      <c r="I572" s="1">
        <v>0.5071</v>
      </c>
    </row>
    <row r="573" spans="1:9" x14ac:dyDescent="0.25">
      <c r="A573" t="s">
        <v>203</v>
      </c>
      <c r="B573" t="s">
        <v>229</v>
      </c>
      <c r="C573">
        <v>966</v>
      </c>
      <c r="D573" t="s">
        <v>200</v>
      </c>
      <c r="E573">
        <v>7453</v>
      </c>
      <c r="F573" s="1">
        <v>2.9999999999999997E-4</v>
      </c>
      <c r="G573" s="1">
        <v>0.5847</v>
      </c>
      <c r="I573" s="1">
        <v>0.41499999999999998</v>
      </c>
    </row>
    <row r="574" spans="1:9" x14ac:dyDescent="0.25">
      <c r="A574" t="s">
        <v>203</v>
      </c>
      <c r="B574" t="s">
        <v>228</v>
      </c>
      <c r="C574">
        <v>489</v>
      </c>
      <c r="D574" t="s">
        <v>200</v>
      </c>
      <c r="E574">
        <v>7453</v>
      </c>
      <c r="F574" s="1">
        <v>3.3E-3</v>
      </c>
      <c r="G574" s="1">
        <v>0.5585</v>
      </c>
      <c r="I574" s="1">
        <v>0.43819999999999998</v>
      </c>
    </row>
    <row r="575" spans="1:9" x14ac:dyDescent="0.25">
      <c r="A575" t="s">
        <v>203</v>
      </c>
      <c r="B575" t="s">
        <v>229</v>
      </c>
      <c r="C575">
        <v>380</v>
      </c>
      <c r="D575" t="s">
        <v>201</v>
      </c>
      <c r="E575">
        <v>7453</v>
      </c>
      <c r="F575" s="1">
        <v>5.9999999999999995E-4</v>
      </c>
      <c r="G575" s="1">
        <v>0.60399999999999998</v>
      </c>
      <c r="H575" s="1">
        <v>3.5999999999999999E-3</v>
      </c>
      <c r="I575" s="1">
        <v>0.39179999999999998</v>
      </c>
    </row>
    <row r="576" spans="1:9" x14ac:dyDescent="0.25">
      <c r="A576" t="s">
        <v>203</v>
      </c>
      <c r="B576" t="s">
        <v>228</v>
      </c>
      <c r="C576">
        <v>519</v>
      </c>
      <c r="D576" t="s">
        <v>201</v>
      </c>
      <c r="E576">
        <v>7453</v>
      </c>
      <c r="G576" s="1">
        <v>0.71779999999999999</v>
      </c>
      <c r="H576" s="1">
        <v>1.6999999999999999E-3</v>
      </c>
      <c r="I576" s="1">
        <v>0.28050000000000003</v>
      </c>
    </row>
    <row r="577" spans="1:9" x14ac:dyDescent="0.25">
      <c r="A577" t="s">
        <v>203</v>
      </c>
      <c r="B577" t="s">
        <v>228</v>
      </c>
      <c r="C577">
        <v>121</v>
      </c>
      <c r="D577" t="s">
        <v>202</v>
      </c>
      <c r="E577">
        <v>7453</v>
      </c>
      <c r="G577" s="1">
        <v>0.47570000000000001</v>
      </c>
      <c r="I577" s="1">
        <v>0.52429999999999999</v>
      </c>
    </row>
    <row r="578" spans="1:9" x14ac:dyDescent="0.25">
      <c r="A578" t="s">
        <v>203</v>
      </c>
      <c r="B578" t="s">
        <v>229</v>
      </c>
      <c r="C578">
        <v>141</v>
      </c>
      <c r="D578" t="s">
        <v>202</v>
      </c>
      <c r="E578">
        <v>7453</v>
      </c>
      <c r="F578" s="1">
        <v>2.46E-2</v>
      </c>
      <c r="G578" s="1">
        <v>0.42830000000000001</v>
      </c>
      <c r="H578" s="1">
        <v>8.3000000000000001E-3</v>
      </c>
      <c r="I578" s="1">
        <v>0.53869999999999996</v>
      </c>
    </row>
    <row r="579" spans="1:9" x14ac:dyDescent="0.25">
      <c r="A579" t="s">
        <v>204</v>
      </c>
      <c r="B579" t="s">
        <v>204</v>
      </c>
      <c r="C579">
        <v>7453</v>
      </c>
      <c r="D579" t="s">
        <v>204</v>
      </c>
      <c r="E579">
        <v>7453</v>
      </c>
      <c r="F579" s="1">
        <v>2.0999999999999999E-3</v>
      </c>
      <c r="G579" s="1">
        <v>0.57220000000000004</v>
      </c>
      <c r="H579" s="1">
        <v>1.1999999999999999E-3</v>
      </c>
      <c r="I579" s="1">
        <v>0.42459999999999998</v>
      </c>
    </row>
    <row r="581" spans="1:9" x14ac:dyDescent="0.25">
      <c r="A581" t="s">
        <v>295</v>
      </c>
    </row>
    <row r="582" spans="1:9" x14ac:dyDescent="0.25">
      <c r="A582" t="s">
        <v>190</v>
      </c>
      <c r="B582" t="s">
        <v>195</v>
      </c>
      <c r="C582" t="s">
        <v>189</v>
      </c>
      <c r="D582" t="s">
        <v>196</v>
      </c>
      <c r="E582" t="s">
        <v>220</v>
      </c>
      <c r="F582" t="s">
        <v>207</v>
      </c>
      <c r="G582" t="s">
        <v>215</v>
      </c>
      <c r="H582" t="s">
        <v>208</v>
      </c>
    </row>
    <row r="583" spans="1:9" x14ac:dyDescent="0.25">
      <c r="A583" t="s">
        <v>198</v>
      </c>
      <c r="B583">
        <v>103</v>
      </c>
      <c r="C583" t="s">
        <v>197</v>
      </c>
      <c r="D583">
        <v>2981</v>
      </c>
      <c r="E583" s="1">
        <v>8.6999999999999994E-3</v>
      </c>
      <c r="F583" s="1">
        <v>5.2200000000000003E-2</v>
      </c>
      <c r="G583" s="1">
        <v>2.1600000000000001E-2</v>
      </c>
      <c r="H583" s="1">
        <v>0.91749999999999998</v>
      </c>
    </row>
    <row r="584" spans="1:9" x14ac:dyDescent="0.25">
      <c r="A584" t="s">
        <v>198</v>
      </c>
      <c r="B584">
        <v>378</v>
      </c>
      <c r="C584" t="s">
        <v>199</v>
      </c>
      <c r="D584">
        <v>2981</v>
      </c>
      <c r="F584" s="1">
        <v>0.17100000000000001</v>
      </c>
      <c r="G584" s="1">
        <v>2.3999999999999998E-3</v>
      </c>
      <c r="H584" s="1">
        <v>0.8266</v>
      </c>
    </row>
    <row r="585" spans="1:9" x14ac:dyDescent="0.25">
      <c r="A585" t="s">
        <v>198</v>
      </c>
      <c r="B585">
        <v>446</v>
      </c>
      <c r="C585" t="s">
        <v>200</v>
      </c>
      <c r="D585">
        <v>2981</v>
      </c>
      <c r="E585" s="1">
        <v>3.8E-3</v>
      </c>
      <c r="F585" s="1">
        <v>9.9099999999999994E-2</v>
      </c>
      <c r="H585" s="1">
        <v>0.89710000000000001</v>
      </c>
    </row>
    <row r="586" spans="1:9" x14ac:dyDescent="0.25">
      <c r="A586" t="s">
        <v>198</v>
      </c>
      <c r="B586">
        <v>284</v>
      </c>
      <c r="C586" t="s">
        <v>201</v>
      </c>
      <c r="D586">
        <v>2981</v>
      </c>
      <c r="E586" s="1">
        <v>1.1000000000000001E-3</v>
      </c>
      <c r="F586" s="1">
        <v>7.8E-2</v>
      </c>
      <c r="G586" s="1">
        <v>5.0000000000000001E-4</v>
      </c>
      <c r="H586" s="1">
        <v>0.92030000000000001</v>
      </c>
    </row>
    <row r="587" spans="1:9" x14ac:dyDescent="0.25">
      <c r="A587" t="s">
        <v>198</v>
      </c>
      <c r="B587">
        <v>118</v>
      </c>
      <c r="C587" t="s">
        <v>202</v>
      </c>
      <c r="D587">
        <v>2981</v>
      </c>
      <c r="F587" s="1">
        <v>0.11940000000000001</v>
      </c>
      <c r="H587" s="1">
        <v>0.88060000000000005</v>
      </c>
    </row>
    <row r="588" spans="1:9" x14ac:dyDescent="0.25">
      <c r="A588" t="s">
        <v>203</v>
      </c>
      <c r="B588">
        <v>571</v>
      </c>
      <c r="C588" t="s">
        <v>199</v>
      </c>
      <c r="D588">
        <v>2981</v>
      </c>
      <c r="E588" s="1">
        <v>5.0000000000000001E-4</v>
      </c>
      <c r="F588" s="1">
        <v>8.6900000000000005E-2</v>
      </c>
      <c r="G588" s="1">
        <v>1E-4</v>
      </c>
      <c r="H588" s="1">
        <v>0.91249999999999998</v>
      </c>
    </row>
    <row r="589" spans="1:9" x14ac:dyDescent="0.25">
      <c r="A589" t="s">
        <v>203</v>
      </c>
      <c r="B589">
        <v>616</v>
      </c>
      <c r="C589" t="s">
        <v>200</v>
      </c>
      <c r="D589">
        <v>2981</v>
      </c>
      <c r="E589" s="1">
        <v>1.1999999999999999E-3</v>
      </c>
      <c r="F589" s="1">
        <v>4.82E-2</v>
      </c>
      <c r="G589" s="1">
        <v>5.0000000000000001E-4</v>
      </c>
      <c r="H589" s="1">
        <v>0.95009999999999994</v>
      </c>
    </row>
    <row r="590" spans="1:9" x14ac:dyDescent="0.25">
      <c r="A590" t="s">
        <v>203</v>
      </c>
      <c r="B590">
        <v>331</v>
      </c>
      <c r="C590" t="s">
        <v>201</v>
      </c>
      <c r="D590">
        <v>2981</v>
      </c>
      <c r="F590" s="1">
        <v>2.5000000000000001E-2</v>
      </c>
      <c r="G590" s="1">
        <v>2E-3</v>
      </c>
      <c r="H590" s="1">
        <v>0.97309999999999997</v>
      </c>
    </row>
    <row r="591" spans="1:9" x14ac:dyDescent="0.25">
      <c r="A591" t="s">
        <v>203</v>
      </c>
      <c r="B591">
        <v>134</v>
      </c>
      <c r="C591" t="s">
        <v>202</v>
      </c>
      <c r="D591">
        <v>2981</v>
      </c>
      <c r="F591" s="1">
        <v>3.9399999999999998E-2</v>
      </c>
      <c r="H591" s="1">
        <v>0.96060000000000001</v>
      </c>
    </row>
    <row r="592" spans="1:9" x14ac:dyDescent="0.25">
      <c r="A592" t="s">
        <v>204</v>
      </c>
      <c r="B592">
        <v>2981</v>
      </c>
      <c r="C592" t="s">
        <v>204</v>
      </c>
      <c r="D592">
        <v>2981</v>
      </c>
      <c r="E592" s="1">
        <v>1.6000000000000001E-3</v>
      </c>
      <c r="F592" s="1">
        <v>8.0799999999999997E-2</v>
      </c>
      <c r="G592" s="1">
        <v>2.0999999999999999E-3</v>
      </c>
      <c r="H592" s="1">
        <v>0.91549999999999998</v>
      </c>
    </row>
    <row r="594" spans="1:9" x14ac:dyDescent="0.25">
      <c r="A594" t="s">
        <v>296</v>
      </c>
    </row>
    <row r="595" spans="1:9" x14ac:dyDescent="0.25">
      <c r="A595" t="s">
        <v>190</v>
      </c>
      <c r="B595" t="s">
        <v>206</v>
      </c>
      <c r="C595" t="s">
        <v>195</v>
      </c>
      <c r="D595" t="s">
        <v>189</v>
      </c>
      <c r="E595" t="s">
        <v>196</v>
      </c>
      <c r="F595" t="s">
        <v>220</v>
      </c>
      <c r="G595" t="s">
        <v>207</v>
      </c>
      <c r="H595" t="s">
        <v>215</v>
      </c>
      <c r="I595" t="s">
        <v>208</v>
      </c>
    </row>
    <row r="596" spans="1:9" x14ac:dyDescent="0.25">
      <c r="A596" t="s">
        <v>198</v>
      </c>
      <c r="B596" t="s">
        <v>228</v>
      </c>
      <c r="C596">
        <v>37</v>
      </c>
      <c r="D596" t="s">
        <v>197</v>
      </c>
      <c r="E596">
        <v>2981</v>
      </c>
      <c r="G596" s="1">
        <v>4.58E-2</v>
      </c>
      <c r="H596" s="1">
        <v>5.7099999999999998E-2</v>
      </c>
      <c r="I596" s="1">
        <v>0.89700000000000002</v>
      </c>
    </row>
    <row r="597" spans="1:9" x14ac:dyDescent="0.25">
      <c r="A597" t="s">
        <v>198</v>
      </c>
      <c r="B597" t="s">
        <v>229</v>
      </c>
      <c r="C597">
        <v>66</v>
      </c>
      <c r="D597" t="s">
        <v>197</v>
      </c>
      <c r="E597">
        <v>2981</v>
      </c>
      <c r="F597" s="1">
        <v>1.3899999999999999E-2</v>
      </c>
      <c r="G597" s="1">
        <v>5.6099999999999997E-2</v>
      </c>
      <c r="I597" s="1">
        <v>0.93</v>
      </c>
    </row>
    <row r="598" spans="1:9" x14ac:dyDescent="0.25">
      <c r="A598" t="s">
        <v>198</v>
      </c>
      <c r="B598" t="s">
        <v>228</v>
      </c>
      <c r="C598">
        <v>145</v>
      </c>
      <c r="D598" t="s">
        <v>199</v>
      </c>
      <c r="E598">
        <v>2981</v>
      </c>
      <c r="G598" s="1">
        <v>0.23089999999999999</v>
      </c>
      <c r="H598" s="1">
        <v>1.09E-2</v>
      </c>
      <c r="I598" s="1">
        <v>0.75819999999999999</v>
      </c>
    </row>
    <row r="599" spans="1:9" x14ac:dyDescent="0.25">
      <c r="A599" t="s">
        <v>198</v>
      </c>
      <c r="B599" t="s">
        <v>229</v>
      </c>
      <c r="C599">
        <v>216</v>
      </c>
      <c r="D599" t="s">
        <v>199</v>
      </c>
      <c r="E599">
        <v>2981</v>
      </c>
      <c r="G599" s="1">
        <v>0.15440000000000001</v>
      </c>
      <c r="I599" s="1">
        <v>0.84560000000000002</v>
      </c>
    </row>
    <row r="600" spans="1:9" x14ac:dyDescent="0.25">
      <c r="A600" t="s">
        <v>198</v>
      </c>
      <c r="B600" t="s">
        <v>229</v>
      </c>
      <c r="C600">
        <v>291</v>
      </c>
      <c r="D600" t="s">
        <v>200</v>
      </c>
      <c r="E600">
        <v>2981</v>
      </c>
      <c r="F600" s="1">
        <v>5.4000000000000003E-3</v>
      </c>
      <c r="G600" s="1">
        <v>9.1499999999999998E-2</v>
      </c>
      <c r="I600" s="1">
        <v>0.90310000000000001</v>
      </c>
    </row>
    <row r="601" spans="1:9" x14ac:dyDescent="0.25">
      <c r="A601" t="s">
        <v>198</v>
      </c>
      <c r="B601" t="s">
        <v>228</v>
      </c>
      <c r="C601">
        <v>150</v>
      </c>
      <c r="D601" t="s">
        <v>200</v>
      </c>
      <c r="E601">
        <v>2981</v>
      </c>
      <c r="G601" s="1">
        <v>0.1217</v>
      </c>
      <c r="I601" s="1">
        <v>0.87829999999999997</v>
      </c>
    </row>
    <row r="602" spans="1:9" x14ac:dyDescent="0.25">
      <c r="A602" t="s">
        <v>198</v>
      </c>
      <c r="B602" t="s">
        <v>228</v>
      </c>
      <c r="C602">
        <v>88</v>
      </c>
      <c r="D602" t="s">
        <v>201</v>
      </c>
      <c r="E602">
        <v>2981</v>
      </c>
      <c r="F602" s="1">
        <v>8.0999999999999996E-3</v>
      </c>
      <c r="G602" s="1">
        <v>0.12470000000000001</v>
      </c>
      <c r="H602" s="1">
        <v>3.8E-3</v>
      </c>
      <c r="I602" s="1">
        <v>0.86339999999999995</v>
      </c>
    </row>
    <row r="603" spans="1:9" x14ac:dyDescent="0.25">
      <c r="A603" t="s">
        <v>198</v>
      </c>
      <c r="B603" t="s">
        <v>229</v>
      </c>
      <c r="C603">
        <v>191</v>
      </c>
      <c r="D603" t="s">
        <v>201</v>
      </c>
      <c r="E603">
        <v>2981</v>
      </c>
      <c r="G603" s="1">
        <v>7.0999999999999994E-2</v>
      </c>
      <c r="I603" s="1">
        <v>0.92900000000000005</v>
      </c>
    </row>
    <row r="604" spans="1:9" x14ac:dyDescent="0.25">
      <c r="A604" t="s">
        <v>198</v>
      </c>
      <c r="B604" t="s">
        <v>228</v>
      </c>
      <c r="C604">
        <v>34</v>
      </c>
      <c r="D604" t="s">
        <v>202</v>
      </c>
      <c r="E604">
        <v>2981</v>
      </c>
      <c r="G604" s="1">
        <v>0.31369999999999998</v>
      </c>
      <c r="I604" s="1">
        <v>0.68630000000000002</v>
      </c>
    </row>
    <row r="605" spans="1:9" x14ac:dyDescent="0.25">
      <c r="A605" t="s">
        <v>198</v>
      </c>
      <c r="B605" t="s">
        <v>229</v>
      </c>
      <c r="C605">
        <v>84</v>
      </c>
      <c r="D605" t="s">
        <v>202</v>
      </c>
      <c r="E605">
        <v>2981</v>
      </c>
      <c r="G605" s="1">
        <v>6.7500000000000004E-2</v>
      </c>
      <c r="I605" s="1">
        <v>0.9325</v>
      </c>
    </row>
    <row r="606" spans="1:9" x14ac:dyDescent="0.25">
      <c r="A606" t="s">
        <v>203</v>
      </c>
      <c r="B606" t="s">
        <v>229</v>
      </c>
      <c r="C606">
        <v>381</v>
      </c>
      <c r="D606" t="s">
        <v>199</v>
      </c>
      <c r="E606">
        <v>2981</v>
      </c>
      <c r="F606" s="1">
        <v>5.9999999999999995E-4</v>
      </c>
      <c r="G606" s="1">
        <v>6.4799999999999996E-2</v>
      </c>
      <c r="I606" s="1">
        <v>0.93459999999999999</v>
      </c>
    </row>
    <row r="607" spans="1:9" x14ac:dyDescent="0.25">
      <c r="A607" t="s">
        <v>203</v>
      </c>
      <c r="B607" t="s">
        <v>228</v>
      </c>
      <c r="C607">
        <v>179</v>
      </c>
      <c r="D607" t="s">
        <v>199</v>
      </c>
      <c r="E607">
        <v>2981</v>
      </c>
      <c r="G607" s="1">
        <v>0.21920000000000001</v>
      </c>
      <c r="H607" s="1">
        <v>5.9999999999999995E-4</v>
      </c>
      <c r="I607" s="1">
        <v>0.7802</v>
      </c>
    </row>
    <row r="608" spans="1:9" x14ac:dyDescent="0.25">
      <c r="A608" t="s">
        <v>203</v>
      </c>
      <c r="B608" t="s">
        <v>229</v>
      </c>
      <c r="C608">
        <v>408</v>
      </c>
      <c r="D608" t="s">
        <v>200</v>
      </c>
      <c r="E608">
        <v>2981</v>
      </c>
      <c r="F608" s="1">
        <v>5.9999999999999995E-4</v>
      </c>
      <c r="G608" s="1">
        <v>4.9599999999999998E-2</v>
      </c>
      <c r="I608" s="1">
        <v>0.94979999999999998</v>
      </c>
    </row>
    <row r="609" spans="1:15" x14ac:dyDescent="0.25">
      <c r="A609" t="s">
        <v>203</v>
      </c>
      <c r="B609" t="s">
        <v>228</v>
      </c>
      <c r="C609">
        <v>206</v>
      </c>
      <c r="D609" t="s">
        <v>200</v>
      </c>
      <c r="E609">
        <v>2981</v>
      </c>
      <c r="F609" s="1">
        <v>3.2000000000000002E-3</v>
      </c>
      <c r="G609" s="1">
        <v>4.3700000000000003E-2</v>
      </c>
      <c r="H609" s="1">
        <v>2E-3</v>
      </c>
      <c r="I609" s="1">
        <v>0.95120000000000005</v>
      </c>
    </row>
    <row r="610" spans="1:15" x14ac:dyDescent="0.25">
      <c r="A610" t="s">
        <v>203</v>
      </c>
      <c r="B610" t="s">
        <v>229</v>
      </c>
      <c r="C610">
        <v>141</v>
      </c>
      <c r="D610" t="s">
        <v>201</v>
      </c>
      <c r="E610">
        <v>2981</v>
      </c>
      <c r="G610" s="1">
        <v>1.77E-2</v>
      </c>
      <c r="H610" s="1">
        <v>2.3999999999999998E-3</v>
      </c>
      <c r="I610" s="1">
        <v>0.9798</v>
      </c>
    </row>
    <row r="611" spans="1:15" x14ac:dyDescent="0.25">
      <c r="A611" t="s">
        <v>203</v>
      </c>
      <c r="B611" t="s">
        <v>228</v>
      </c>
      <c r="C611">
        <v>185</v>
      </c>
      <c r="D611" t="s">
        <v>201</v>
      </c>
      <c r="E611">
        <v>2981</v>
      </c>
      <c r="G611" s="1">
        <v>5.4199999999999998E-2</v>
      </c>
      <c r="I611" s="1">
        <v>0.94579999999999997</v>
      </c>
    </row>
    <row r="612" spans="1:15" x14ac:dyDescent="0.25">
      <c r="A612" t="s">
        <v>203</v>
      </c>
      <c r="B612" t="s">
        <v>228</v>
      </c>
      <c r="C612">
        <v>60</v>
      </c>
      <c r="D612" t="s">
        <v>202</v>
      </c>
      <c r="E612">
        <v>2981</v>
      </c>
      <c r="G612" s="1">
        <v>4.3099999999999999E-2</v>
      </c>
      <c r="I612" s="1">
        <v>0.95689999999999997</v>
      </c>
    </row>
    <row r="613" spans="1:15" x14ac:dyDescent="0.25">
      <c r="A613" t="s">
        <v>203</v>
      </c>
      <c r="B613" t="s">
        <v>229</v>
      </c>
      <c r="C613">
        <v>74</v>
      </c>
      <c r="D613" t="s">
        <v>202</v>
      </c>
      <c r="E613">
        <v>2981</v>
      </c>
      <c r="G613" s="1">
        <v>3.7499999999999999E-2</v>
      </c>
      <c r="I613" s="1">
        <v>0.96250000000000002</v>
      </c>
    </row>
    <row r="614" spans="1:15" x14ac:dyDescent="0.25">
      <c r="A614" t="s">
        <v>204</v>
      </c>
      <c r="B614" t="s">
        <v>204</v>
      </c>
      <c r="C614">
        <v>2981</v>
      </c>
      <c r="D614" t="s">
        <v>204</v>
      </c>
      <c r="E614">
        <v>2981</v>
      </c>
      <c r="F614" s="1">
        <v>1.6000000000000001E-3</v>
      </c>
      <c r="G614" s="1">
        <v>8.0799999999999997E-2</v>
      </c>
      <c r="H614" s="1">
        <v>2.0999999999999999E-3</v>
      </c>
      <c r="I614" s="1">
        <v>0.91549999999999998</v>
      </c>
    </row>
    <row r="616" spans="1:15" x14ac:dyDescent="0.25">
      <c r="A616" t="s">
        <v>297</v>
      </c>
    </row>
    <row r="617" spans="1:15" x14ac:dyDescent="0.25">
      <c r="A617" t="s">
        <v>190</v>
      </c>
      <c r="B617" t="s">
        <v>195</v>
      </c>
      <c r="C617" t="s">
        <v>189</v>
      </c>
      <c r="D617" t="s">
        <v>196</v>
      </c>
      <c r="E617" t="s">
        <v>298</v>
      </c>
      <c r="F617" t="s">
        <v>299</v>
      </c>
      <c r="G617" t="s">
        <v>300</v>
      </c>
      <c r="H617" t="s">
        <v>301</v>
      </c>
      <c r="I617" t="s">
        <v>220</v>
      </c>
      <c r="J617" t="s">
        <v>302</v>
      </c>
      <c r="K617" t="s">
        <v>303</v>
      </c>
      <c r="L617" t="s">
        <v>215</v>
      </c>
      <c r="M617" t="s">
        <v>304</v>
      </c>
      <c r="N617" t="s">
        <v>305</v>
      </c>
      <c r="O617" t="s">
        <v>306</v>
      </c>
    </row>
    <row r="618" spans="1:15" x14ac:dyDescent="0.25">
      <c r="A618" t="s">
        <v>198</v>
      </c>
      <c r="B618">
        <v>103</v>
      </c>
      <c r="C618" t="s">
        <v>197</v>
      </c>
      <c r="D618">
        <v>2972</v>
      </c>
      <c r="E618" s="1">
        <v>1.9400000000000001E-2</v>
      </c>
      <c r="F618" s="1">
        <v>0.2329</v>
      </c>
      <c r="G618" s="1">
        <v>0.34510000000000002</v>
      </c>
      <c r="H618" s="1">
        <v>0.2437</v>
      </c>
      <c r="J618" s="1">
        <v>3.6799999999999999E-2</v>
      </c>
      <c r="K618" s="1">
        <v>5.7599999999999998E-2</v>
      </c>
      <c r="M618" s="1">
        <v>0.19009999999999999</v>
      </c>
      <c r="O618" s="1">
        <v>5.4100000000000002E-2</v>
      </c>
    </row>
    <row r="619" spans="1:15" x14ac:dyDescent="0.25">
      <c r="A619" t="s">
        <v>198</v>
      </c>
      <c r="B619">
        <v>377</v>
      </c>
      <c r="C619" t="s">
        <v>199</v>
      </c>
      <c r="D619">
        <v>2972</v>
      </c>
      <c r="E619" s="1">
        <v>2.7000000000000001E-3</v>
      </c>
      <c r="F619" s="1">
        <v>0.19750000000000001</v>
      </c>
      <c r="G619" s="1">
        <v>0.33710000000000001</v>
      </c>
      <c r="H619" s="1">
        <v>0.27100000000000002</v>
      </c>
      <c r="J619" s="1">
        <v>4.1300000000000003E-2</v>
      </c>
      <c r="K619" s="1">
        <v>1.7000000000000001E-2</v>
      </c>
      <c r="M619" s="1">
        <v>0.27879999999999999</v>
      </c>
      <c r="O619" s="1">
        <v>5.4100000000000002E-2</v>
      </c>
    </row>
    <row r="620" spans="1:15" x14ac:dyDescent="0.25">
      <c r="A620" t="s">
        <v>198</v>
      </c>
      <c r="B620">
        <v>446</v>
      </c>
      <c r="C620" t="s">
        <v>200</v>
      </c>
      <c r="D620">
        <v>2972</v>
      </c>
      <c r="E620" s="1">
        <v>1.18E-2</v>
      </c>
      <c r="F620" s="1">
        <v>0.247</v>
      </c>
      <c r="G620" s="1">
        <v>0.32079999999999997</v>
      </c>
      <c r="H620" s="1">
        <v>0.21510000000000001</v>
      </c>
      <c r="I620" s="1">
        <v>1.5E-3</v>
      </c>
      <c r="J620" s="1">
        <v>5.1499999999999997E-2</v>
      </c>
      <c r="K620" s="1">
        <v>4.3900000000000002E-2</v>
      </c>
      <c r="L620" s="1">
        <v>5.1999999999999998E-3</v>
      </c>
      <c r="M620" s="1">
        <v>0.26540000000000002</v>
      </c>
      <c r="O620" s="1">
        <v>4.6100000000000002E-2</v>
      </c>
    </row>
    <row r="621" spans="1:15" x14ac:dyDescent="0.25">
      <c r="A621" t="s">
        <v>198</v>
      </c>
      <c r="B621">
        <v>283</v>
      </c>
      <c r="C621" t="s">
        <v>201</v>
      </c>
      <c r="D621">
        <v>2972</v>
      </c>
      <c r="E621" s="1">
        <v>5.9999999999999995E-4</v>
      </c>
      <c r="F621" s="1">
        <v>0.23269999999999999</v>
      </c>
      <c r="G621" s="1">
        <v>0.31630000000000003</v>
      </c>
      <c r="H621" s="1">
        <v>0.16439999999999999</v>
      </c>
      <c r="I621" s="1">
        <v>5.9999999999999995E-4</v>
      </c>
      <c r="J621" s="1">
        <v>3.78E-2</v>
      </c>
      <c r="K621" s="1">
        <v>3.5900000000000001E-2</v>
      </c>
      <c r="L621" s="1">
        <v>1.5599999999999999E-2</v>
      </c>
      <c r="M621" s="1">
        <v>0.33679999999999999</v>
      </c>
      <c r="O621" s="1">
        <v>4.8800000000000003E-2</v>
      </c>
    </row>
    <row r="622" spans="1:15" x14ac:dyDescent="0.25">
      <c r="A622" t="s">
        <v>198</v>
      </c>
      <c r="B622">
        <v>118</v>
      </c>
      <c r="C622" t="s">
        <v>202</v>
      </c>
      <c r="D622">
        <v>2972</v>
      </c>
      <c r="E622" s="1">
        <v>3.6400000000000002E-2</v>
      </c>
      <c r="F622" s="1">
        <v>0.2162</v>
      </c>
      <c r="G622" s="1">
        <v>0.35759999999999997</v>
      </c>
      <c r="H622" s="1">
        <v>0.27829999999999999</v>
      </c>
      <c r="J622" s="1">
        <v>1.7000000000000001E-2</v>
      </c>
      <c r="K622" s="1">
        <v>2.5600000000000001E-2</v>
      </c>
      <c r="M622" s="1">
        <v>0.38740000000000002</v>
      </c>
      <c r="N622" s="1">
        <v>2.3599999999999999E-2</v>
      </c>
      <c r="O622" s="1">
        <v>6.4799999999999996E-2</v>
      </c>
    </row>
    <row r="623" spans="1:15" x14ac:dyDescent="0.25">
      <c r="A623" t="s">
        <v>203</v>
      </c>
      <c r="B623">
        <v>571</v>
      </c>
      <c r="C623" t="s">
        <v>199</v>
      </c>
      <c r="D623">
        <v>2972</v>
      </c>
      <c r="E623" s="1">
        <v>2.5000000000000001E-3</v>
      </c>
      <c r="F623" s="1">
        <v>0.2268</v>
      </c>
      <c r="G623" s="1">
        <v>0.2888</v>
      </c>
      <c r="H623" s="1">
        <v>0.22159999999999999</v>
      </c>
      <c r="I623" s="1">
        <v>1.2999999999999999E-3</v>
      </c>
      <c r="J623" s="1">
        <v>3.32E-2</v>
      </c>
      <c r="K623" s="1">
        <v>1.4200000000000001E-2</v>
      </c>
      <c r="M623" s="1">
        <v>0.33450000000000002</v>
      </c>
      <c r="N623" s="1">
        <v>1.2999999999999999E-3</v>
      </c>
      <c r="O623" s="1">
        <v>2.0400000000000001E-2</v>
      </c>
    </row>
    <row r="624" spans="1:15" x14ac:dyDescent="0.25">
      <c r="A624" t="s">
        <v>203</v>
      </c>
      <c r="B624">
        <v>613</v>
      </c>
      <c r="C624" t="s">
        <v>200</v>
      </c>
      <c r="D624">
        <v>2972</v>
      </c>
      <c r="E624" s="1">
        <v>2.1000000000000001E-2</v>
      </c>
      <c r="F624" s="1">
        <v>0.38179999999999997</v>
      </c>
      <c r="G624" s="1">
        <v>0.23430000000000001</v>
      </c>
      <c r="H624" s="1">
        <v>0.19889999999999999</v>
      </c>
      <c r="I624" s="1">
        <v>8.9999999999999998E-4</v>
      </c>
      <c r="J624" s="1">
        <v>2.8899999999999999E-2</v>
      </c>
      <c r="K624" s="1">
        <v>2.0299999999999999E-2</v>
      </c>
      <c r="L624" s="1">
        <v>5.0000000000000001E-4</v>
      </c>
      <c r="M624" s="1">
        <v>0.27129999999999999</v>
      </c>
      <c r="N624" s="1">
        <v>4.0000000000000002E-4</v>
      </c>
      <c r="O624" s="1">
        <v>5.0500000000000003E-2</v>
      </c>
    </row>
    <row r="625" spans="1:16" x14ac:dyDescent="0.25">
      <c r="A625" t="s">
        <v>203</v>
      </c>
      <c r="B625">
        <v>327</v>
      </c>
      <c r="C625" t="s">
        <v>201</v>
      </c>
      <c r="D625">
        <v>2972</v>
      </c>
      <c r="E625" s="1">
        <v>2.6499999999999999E-2</v>
      </c>
      <c r="F625" s="1">
        <v>0.28120000000000001</v>
      </c>
      <c r="G625" s="1">
        <v>0.29720000000000002</v>
      </c>
      <c r="H625" s="1">
        <v>0.21510000000000001</v>
      </c>
      <c r="I625" s="1">
        <v>4.4999999999999997E-3</v>
      </c>
      <c r="J625" s="1">
        <v>3.1E-2</v>
      </c>
      <c r="K625" s="1">
        <v>1.1299999999999999E-2</v>
      </c>
      <c r="L625" s="1">
        <v>2.0000000000000001E-4</v>
      </c>
      <c r="M625" s="1">
        <v>0.30099999999999999</v>
      </c>
      <c r="N625" s="1">
        <v>1.4E-3</v>
      </c>
      <c r="O625" s="1">
        <v>3.2800000000000003E-2</v>
      </c>
    </row>
    <row r="626" spans="1:16" x14ac:dyDescent="0.25">
      <c r="A626" t="s">
        <v>203</v>
      </c>
      <c r="B626">
        <v>134</v>
      </c>
      <c r="C626" t="s">
        <v>202</v>
      </c>
      <c r="D626">
        <v>2972</v>
      </c>
      <c r="E626" s="1">
        <v>2.5000000000000001E-3</v>
      </c>
      <c r="F626" s="1">
        <v>0.46150000000000002</v>
      </c>
      <c r="G626" s="1">
        <v>0.24990000000000001</v>
      </c>
      <c r="H626" s="1">
        <v>0.1605</v>
      </c>
      <c r="I626" s="1">
        <v>4.0000000000000001E-3</v>
      </c>
      <c r="J626" s="1">
        <v>3.0800000000000001E-2</v>
      </c>
      <c r="K626" s="1">
        <v>1.6E-2</v>
      </c>
      <c r="M626" s="1">
        <v>0.2944</v>
      </c>
      <c r="O626" s="1">
        <v>3.4200000000000001E-2</v>
      </c>
    </row>
    <row r="627" spans="1:16" x14ac:dyDescent="0.25">
      <c r="A627" t="s">
        <v>204</v>
      </c>
      <c r="B627">
        <v>2972</v>
      </c>
      <c r="C627" t="s">
        <v>204</v>
      </c>
      <c r="D627">
        <v>2972</v>
      </c>
      <c r="E627" s="1">
        <v>1.49E-2</v>
      </c>
      <c r="F627" s="1">
        <v>0.29070000000000001</v>
      </c>
      <c r="G627" s="1">
        <v>0.29199999999999998</v>
      </c>
      <c r="H627" s="1">
        <v>0.21970000000000001</v>
      </c>
      <c r="I627" s="1">
        <v>1.1000000000000001E-3</v>
      </c>
      <c r="J627" s="1">
        <v>3.3799999999999997E-2</v>
      </c>
      <c r="K627" s="1">
        <v>2.5499999999999998E-2</v>
      </c>
      <c r="L627" s="1">
        <v>1.6000000000000001E-3</v>
      </c>
      <c r="M627" s="1">
        <v>0.29060000000000002</v>
      </c>
      <c r="N627" s="1">
        <v>2.7000000000000001E-3</v>
      </c>
      <c r="O627" s="1">
        <v>4.65E-2</v>
      </c>
    </row>
    <row r="629" spans="1:16" x14ac:dyDescent="0.25">
      <c r="A629" t="s">
        <v>307</v>
      </c>
    </row>
    <row r="630" spans="1:16" x14ac:dyDescent="0.25">
      <c r="A630" t="s">
        <v>190</v>
      </c>
      <c r="B630" t="s">
        <v>206</v>
      </c>
      <c r="C630" t="s">
        <v>195</v>
      </c>
      <c r="D630" t="s">
        <v>189</v>
      </c>
      <c r="E630" t="s">
        <v>196</v>
      </c>
      <c r="F630" t="s">
        <v>298</v>
      </c>
      <c r="G630" t="s">
        <v>299</v>
      </c>
      <c r="H630" t="s">
        <v>300</v>
      </c>
      <c r="I630" t="s">
        <v>301</v>
      </c>
      <c r="J630" t="s">
        <v>220</v>
      </c>
      <c r="K630" t="s">
        <v>302</v>
      </c>
      <c r="L630" t="s">
        <v>303</v>
      </c>
      <c r="M630" t="s">
        <v>215</v>
      </c>
      <c r="N630" t="s">
        <v>304</v>
      </c>
      <c r="O630" t="s">
        <v>305</v>
      </c>
      <c r="P630" t="s">
        <v>306</v>
      </c>
    </row>
    <row r="631" spans="1:16" x14ac:dyDescent="0.25">
      <c r="A631" t="s">
        <v>198</v>
      </c>
      <c r="B631" t="s">
        <v>228</v>
      </c>
      <c r="C631">
        <v>37</v>
      </c>
      <c r="D631" t="s">
        <v>197</v>
      </c>
      <c r="E631">
        <v>2972</v>
      </c>
      <c r="G631" s="1">
        <v>0.1915</v>
      </c>
      <c r="H631" s="1">
        <v>0.31040000000000001</v>
      </c>
      <c r="I631" s="1">
        <v>0.32729999999999998</v>
      </c>
      <c r="K631" s="1">
        <v>2.29E-2</v>
      </c>
      <c r="L631" s="1">
        <v>6.6100000000000006E-2</v>
      </c>
      <c r="N631" s="1">
        <v>0.19189999999999999</v>
      </c>
      <c r="P631" s="1">
        <v>4.58E-2</v>
      </c>
    </row>
    <row r="632" spans="1:16" x14ac:dyDescent="0.25">
      <c r="A632" t="s">
        <v>198</v>
      </c>
      <c r="B632" t="s">
        <v>229</v>
      </c>
      <c r="C632">
        <v>66</v>
      </c>
      <c r="D632" t="s">
        <v>197</v>
      </c>
      <c r="E632">
        <v>2972</v>
      </c>
      <c r="F632" s="1">
        <v>3.1199999999999999E-2</v>
      </c>
      <c r="G632" s="1">
        <v>0.25800000000000001</v>
      </c>
      <c r="H632" s="1">
        <v>0.36609999999999998</v>
      </c>
      <c r="I632" s="1">
        <v>0.19289999999999999</v>
      </c>
      <c r="K632" s="1">
        <v>4.5199999999999997E-2</v>
      </c>
      <c r="L632" s="1">
        <v>5.2499999999999998E-2</v>
      </c>
      <c r="N632" s="1">
        <v>0.18890000000000001</v>
      </c>
      <c r="P632" s="1">
        <v>5.91E-2</v>
      </c>
    </row>
    <row r="633" spans="1:16" x14ac:dyDescent="0.25">
      <c r="A633" t="s">
        <v>198</v>
      </c>
      <c r="B633" t="s">
        <v>228</v>
      </c>
      <c r="C633">
        <v>144</v>
      </c>
      <c r="D633" t="s">
        <v>199</v>
      </c>
      <c r="E633">
        <v>2972</v>
      </c>
      <c r="F633" s="1">
        <v>3.8E-3</v>
      </c>
      <c r="G633" s="1">
        <v>0.1958</v>
      </c>
      <c r="H633" s="1">
        <v>0.31330000000000002</v>
      </c>
      <c r="I633" s="1">
        <v>0.2467</v>
      </c>
      <c r="K633" s="1">
        <v>8.3199999999999996E-2</v>
      </c>
      <c r="L633" s="1">
        <v>0.02</v>
      </c>
      <c r="N633" s="1">
        <v>0.2853</v>
      </c>
      <c r="P633" s="1">
        <v>5.28E-2</v>
      </c>
    </row>
    <row r="634" spans="1:16" x14ac:dyDescent="0.25">
      <c r="A634" t="s">
        <v>198</v>
      </c>
      <c r="B634" t="s">
        <v>229</v>
      </c>
      <c r="C634">
        <v>216</v>
      </c>
      <c r="D634" t="s">
        <v>199</v>
      </c>
      <c r="E634">
        <v>2972</v>
      </c>
      <c r="F634" s="1">
        <v>2.3999999999999998E-3</v>
      </c>
      <c r="G634" s="1">
        <v>0.1996</v>
      </c>
      <c r="H634" s="1">
        <v>0.34129999999999999</v>
      </c>
      <c r="I634" s="1">
        <v>0.27950000000000003</v>
      </c>
      <c r="K634" s="1">
        <v>2.9499999999999998E-2</v>
      </c>
      <c r="L634" s="1">
        <v>1.6400000000000001E-2</v>
      </c>
      <c r="N634" s="1">
        <v>0.2787</v>
      </c>
      <c r="P634" s="1">
        <v>5.4899999999999997E-2</v>
      </c>
    </row>
    <row r="635" spans="1:16" x14ac:dyDescent="0.25">
      <c r="A635" t="s">
        <v>198</v>
      </c>
      <c r="B635" t="s">
        <v>229</v>
      </c>
      <c r="C635">
        <v>291</v>
      </c>
      <c r="D635" t="s">
        <v>200</v>
      </c>
      <c r="E635">
        <v>2972</v>
      </c>
      <c r="F635" s="1">
        <v>5.4000000000000003E-3</v>
      </c>
      <c r="G635" s="1">
        <v>0.22869999999999999</v>
      </c>
      <c r="H635" s="1">
        <v>0.2878</v>
      </c>
      <c r="I635" s="1">
        <v>0.23769999999999999</v>
      </c>
      <c r="J635" s="1">
        <v>2.0999999999999999E-3</v>
      </c>
      <c r="K635" s="1">
        <v>5.8500000000000003E-2</v>
      </c>
      <c r="L635" s="1">
        <v>5.7099999999999998E-2</v>
      </c>
      <c r="M635" s="1">
        <v>5.4000000000000003E-3</v>
      </c>
      <c r="N635" s="1">
        <v>0.27410000000000001</v>
      </c>
      <c r="P635" s="1">
        <v>5.7200000000000001E-2</v>
      </c>
    </row>
    <row r="636" spans="1:16" x14ac:dyDescent="0.25">
      <c r="A636" t="s">
        <v>198</v>
      </c>
      <c r="B636" t="s">
        <v>228</v>
      </c>
      <c r="C636">
        <v>150</v>
      </c>
      <c r="D636" t="s">
        <v>200</v>
      </c>
      <c r="E636">
        <v>2972</v>
      </c>
      <c r="F636" s="1">
        <v>2.8899999999999999E-2</v>
      </c>
      <c r="G636" s="1">
        <v>0.28760000000000002</v>
      </c>
      <c r="H636" s="1">
        <v>0.4017</v>
      </c>
      <c r="I636" s="1">
        <v>0.16259999999999999</v>
      </c>
      <c r="K636" s="1">
        <v>3.4500000000000003E-2</v>
      </c>
      <c r="L636" s="1">
        <v>1.0500000000000001E-2</v>
      </c>
      <c r="M636" s="1">
        <v>4.8999999999999998E-3</v>
      </c>
      <c r="N636" s="1">
        <v>0.23669999999999999</v>
      </c>
      <c r="P636" s="1">
        <v>1.8599999999999998E-2</v>
      </c>
    </row>
    <row r="637" spans="1:16" x14ac:dyDescent="0.25">
      <c r="A637" t="s">
        <v>198</v>
      </c>
      <c r="B637" t="s">
        <v>228</v>
      </c>
      <c r="C637">
        <v>88</v>
      </c>
      <c r="D637" t="s">
        <v>201</v>
      </c>
      <c r="E637">
        <v>2972</v>
      </c>
      <c r="G637" s="1">
        <v>0.15840000000000001</v>
      </c>
      <c r="H637" s="1">
        <v>0.36699999999999999</v>
      </c>
      <c r="I637" s="1">
        <v>0.19489999999999999</v>
      </c>
      <c r="K637" s="1">
        <v>2.1399999999999999E-2</v>
      </c>
      <c r="L637" s="1">
        <v>7.6100000000000001E-2</v>
      </c>
      <c r="N637" s="1">
        <v>0.2238</v>
      </c>
      <c r="P637" s="1">
        <v>4.6100000000000002E-2</v>
      </c>
    </row>
    <row r="638" spans="1:16" x14ac:dyDescent="0.25">
      <c r="A638" t="s">
        <v>198</v>
      </c>
      <c r="B638" t="s">
        <v>229</v>
      </c>
      <c r="C638">
        <v>190</v>
      </c>
      <c r="D638" t="s">
        <v>201</v>
      </c>
      <c r="E638">
        <v>2972</v>
      </c>
      <c r="F638" s="1">
        <v>6.9999999999999999E-4</v>
      </c>
      <c r="G638" s="1">
        <v>0.24160000000000001</v>
      </c>
      <c r="H638" s="1">
        <v>0.309</v>
      </c>
      <c r="I638" s="1">
        <v>0.1605</v>
      </c>
      <c r="J638" s="1">
        <v>6.9999999999999999E-4</v>
      </c>
      <c r="K638" s="1">
        <v>4.0599999999999997E-2</v>
      </c>
      <c r="L638" s="1">
        <v>2.93E-2</v>
      </c>
      <c r="M638" s="1">
        <v>1.83E-2</v>
      </c>
      <c r="N638" s="1">
        <v>0.3569</v>
      </c>
      <c r="P638" s="1">
        <v>4.9500000000000002E-2</v>
      </c>
    </row>
    <row r="639" spans="1:16" x14ac:dyDescent="0.25">
      <c r="A639" t="s">
        <v>198</v>
      </c>
      <c r="B639" t="s">
        <v>228</v>
      </c>
      <c r="C639">
        <v>34</v>
      </c>
      <c r="D639" t="s">
        <v>202</v>
      </c>
      <c r="E639">
        <v>2972</v>
      </c>
      <c r="F639" s="1">
        <v>1.01E-2</v>
      </c>
      <c r="G639" s="1">
        <v>0.27200000000000002</v>
      </c>
      <c r="H639" s="1">
        <v>0.23669999999999999</v>
      </c>
      <c r="I639" s="1">
        <v>0.316</v>
      </c>
      <c r="K639" s="1">
        <v>8.0799999999999997E-2</v>
      </c>
      <c r="N639" s="1">
        <v>0.29480000000000001</v>
      </c>
      <c r="O639" s="1">
        <v>1.01E-2</v>
      </c>
      <c r="P639" s="1">
        <v>0.1018</v>
      </c>
    </row>
    <row r="640" spans="1:16" x14ac:dyDescent="0.25">
      <c r="A640" t="s">
        <v>198</v>
      </c>
      <c r="B640" t="s">
        <v>229</v>
      </c>
      <c r="C640">
        <v>84</v>
      </c>
      <c r="D640" t="s">
        <v>202</v>
      </c>
      <c r="E640">
        <v>2972</v>
      </c>
      <c r="F640" s="1">
        <v>4.3400000000000001E-2</v>
      </c>
      <c r="G640" s="1">
        <v>0.20130000000000001</v>
      </c>
      <c r="H640" s="1">
        <v>0.38990000000000002</v>
      </c>
      <c r="I640" s="1">
        <v>0.26819999999999999</v>
      </c>
      <c r="L640" s="1">
        <v>3.2399999999999998E-2</v>
      </c>
      <c r="N640" s="1">
        <v>0.41210000000000002</v>
      </c>
      <c r="O640" s="1">
        <v>2.7199999999999998E-2</v>
      </c>
      <c r="P640" s="1">
        <v>5.5E-2</v>
      </c>
    </row>
    <row r="641" spans="1:16" x14ac:dyDescent="0.25">
      <c r="A641" t="s">
        <v>203</v>
      </c>
      <c r="B641" t="s">
        <v>229</v>
      </c>
      <c r="C641">
        <v>381</v>
      </c>
      <c r="D641" t="s">
        <v>199</v>
      </c>
      <c r="E641">
        <v>2972</v>
      </c>
      <c r="F641" s="1">
        <v>1.5E-3</v>
      </c>
      <c r="G641" s="1">
        <v>0.24129999999999999</v>
      </c>
      <c r="H641" s="1">
        <v>0.27389999999999998</v>
      </c>
      <c r="I641" s="1">
        <v>0.21049999999999999</v>
      </c>
      <c r="J641" s="1">
        <v>1.4E-3</v>
      </c>
      <c r="K641" s="1">
        <v>2.3699999999999999E-2</v>
      </c>
      <c r="L641" s="1">
        <v>1.34E-2</v>
      </c>
      <c r="N641" s="1">
        <v>0.35299999999999998</v>
      </c>
      <c r="O641" s="1">
        <v>1.5E-3</v>
      </c>
      <c r="P641" s="1">
        <v>1.84E-2</v>
      </c>
    </row>
    <row r="642" spans="1:16" x14ac:dyDescent="0.25">
      <c r="A642" t="s">
        <v>203</v>
      </c>
      <c r="B642" t="s">
        <v>228</v>
      </c>
      <c r="C642">
        <v>179</v>
      </c>
      <c r="D642" t="s">
        <v>199</v>
      </c>
      <c r="E642">
        <v>2972</v>
      </c>
      <c r="F642" s="1">
        <v>8.8999999999999999E-3</v>
      </c>
      <c r="G642" s="1">
        <v>0.13589999999999999</v>
      </c>
      <c r="H642" s="1">
        <v>0.37109999999999999</v>
      </c>
      <c r="I642" s="1">
        <v>0.29270000000000002</v>
      </c>
      <c r="J642" s="1">
        <v>5.9999999999999995E-4</v>
      </c>
      <c r="K642" s="1">
        <v>9.1499999999999998E-2</v>
      </c>
      <c r="L642" s="1">
        <v>1.5900000000000001E-2</v>
      </c>
      <c r="N642" s="1">
        <v>0.23230000000000001</v>
      </c>
      <c r="P642" s="1">
        <v>3.3000000000000002E-2</v>
      </c>
    </row>
    <row r="643" spans="1:16" x14ac:dyDescent="0.25">
      <c r="A643" t="s">
        <v>203</v>
      </c>
      <c r="B643" t="s">
        <v>229</v>
      </c>
      <c r="C643">
        <v>405</v>
      </c>
      <c r="D643" t="s">
        <v>200</v>
      </c>
      <c r="E643">
        <v>2972</v>
      </c>
      <c r="F643" s="1">
        <v>2.5000000000000001E-2</v>
      </c>
      <c r="G643" s="1">
        <v>0.38469999999999999</v>
      </c>
      <c r="H643" s="1">
        <v>0.21790000000000001</v>
      </c>
      <c r="I643" s="1">
        <v>0.20619999999999999</v>
      </c>
      <c r="J643" s="1">
        <v>1.1999999999999999E-3</v>
      </c>
      <c r="K643" s="1">
        <v>2.24E-2</v>
      </c>
      <c r="L643" s="1">
        <v>1.89E-2</v>
      </c>
      <c r="N643" s="1">
        <v>0.27910000000000001</v>
      </c>
      <c r="P643" s="1">
        <v>5.4699999999999999E-2</v>
      </c>
    </row>
    <row r="644" spans="1:16" x14ac:dyDescent="0.25">
      <c r="A644" t="s">
        <v>203</v>
      </c>
      <c r="B644" t="s">
        <v>228</v>
      </c>
      <c r="C644">
        <v>206</v>
      </c>
      <c r="D644" t="s">
        <v>200</v>
      </c>
      <c r="E644">
        <v>2972</v>
      </c>
      <c r="F644" s="1">
        <v>7.4999999999999997E-3</v>
      </c>
      <c r="G644" s="1">
        <v>0.3725</v>
      </c>
      <c r="H644" s="1">
        <v>0.28860000000000002</v>
      </c>
      <c r="I644" s="1">
        <v>0.1749</v>
      </c>
      <c r="K644" s="1">
        <v>5.04E-2</v>
      </c>
      <c r="L644" s="1">
        <v>2.4899999999999999E-2</v>
      </c>
      <c r="M644" s="1">
        <v>2E-3</v>
      </c>
      <c r="N644" s="1">
        <v>0.2455</v>
      </c>
      <c r="O644" s="1">
        <v>1.6000000000000001E-3</v>
      </c>
      <c r="P644" s="1">
        <v>3.6499999999999998E-2</v>
      </c>
    </row>
    <row r="645" spans="1:16" x14ac:dyDescent="0.25">
      <c r="A645" t="s">
        <v>203</v>
      </c>
      <c r="B645" t="s">
        <v>229</v>
      </c>
      <c r="C645">
        <v>139</v>
      </c>
      <c r="D645" t="s">
        <v>201</v>
      </c>
      <c r="E645">
        <v>2972</v>
      </c>
      <c r="F645" s="1">
        <v>3.2899999999999999E-2</v>
      </c>
      <c r="G645" s="1">
        <v>0.31669999999999998</v>
      </c>
      <c r="H645" s="1">
        <v>0.2329</v>
      </c>
      <c r="I645" s="1">
        <v>0.20619999999999999</v>
      </c>
      <c r="J645" s="1">
        <v>5.5999999999999999E-3</v>
      </c>
      <c r="K645" s="1">
        <v>2.8799999999999999E-2</v>
      </c>
      <c r="L645" s="1">
        <v>4.7999999999999996E-3</v>
      </c>
      <c r="N645" s="1">
        <v>0.30580000000000002</v>
      </c>
      <c r="O645" s="1">
        <v>1.8E-3</v>
      </c>
      <c r="P645" s="1">
        <v>3.1899999999999998E-2</v>
      </c>
    </row>
    <row r="646" spans="1:16" x14ac:dyDescent="0.25">
      <c r="A646" t="s">
        <v>203</v>
      </c>
      <c r="B646" t="s">
        <v>228</v>
      </c>
      <c r="C646">
        <v>183</v>
      </c>
      <c r="D646" t="s">
        <v>201</v>
      </c>
      <c r="E646">
        <v>2972</v>
      </c>
      <c r="F646" s="1">
        <v>1E-3</v>
      </c>
      <c r="G646" s="1">
        <v>0.13980000000000001</v>
      </c>
      <c r="H646" s="1">
        <v>0.55300000000000005</v>
      </c>
      <c r="I646" s="1">
        <v>0.25190000000000001</v>
      </c>
      <c r="K646" s="1">
        <v>4.02E-2</v>
      </c>
      <c r="L646" s="1">
        <v>3.73E-2</v>
      </c>
      <c r="M646" s="1">
        <v>1E-3</v>
      </c>
      <c r="N646" s="1">
        <v>0.28210000000000002</v>
      </c>
      <c r="P646" s="1">
        <v>3.6900000000000002E-2</v>
      </c>
    </row>
    <row r="647" spans="1:16" x14ac:dyDescent="0.25">
      <c r="A647" t="s">
        <v>203</v>
      </c>
      <c r="B647" t="s">
        <v>228</v>
      </c>
      <c r="C647">
        <v>60</v>
      </c>
      <c r="D647" t="s">
        <v>202</v>
      </c>
      <c r="E647">
        <v>2972</v>
      </c>
      <c r="F647" s="1">
        <v>7.3000000000000001E-3</v>
      </c>
      <c r="G647" s="1">
        <v>0.38269999999999998</v>
      </c>
      <c r="H647" s="1">
        <v>0.3352</v>
      </c>
      <c r="I647" s="1">
        <v>0.1094</v>
      </c>
      <c r="J647" s="1">
        <v>1.1599999999999999E-2</v>
      </c>
      <c r="K647" s="1">
        <v>9.7000000000000003E-3</v>
      </c>
      <c r="L647" s="1">
        <v>0.02</v>
      </c>
      <c r="N647" s="1">
        <v>0.26500000000000001</v>
      </c>
      <c r="P647" s="1">
        <v>1.9300000000000001E-2</v>
      </c>
    </row>
    <row r="648" spans="1:16" x14ac:dyDescent="0.25">
      <c r="A648" t="s">
        <v>203</v>
      </c>
      <c r="B648" t="s">
        <v>229</v>
      </c>
      <c r="C648">
        <v>74</v>
      </c>
      <c r="D648" t="s">
        <v>202</v>
      </c>
      <c r="E648">
        <v>2972</v>
      </c>
      <c r="G648" s="1">
        <v>0.50309999999999999</v>
      </c>
      <c r="H648" s="1">
        <v>0.20480000000000001</v>
      </c>
      <c r="I648" s="1">
        <v>0.1875</v>
      </c>
      <c r="K648" s="1">
        <v>4.2000000000000003E-2</v>
      </c>
      <c r="L648" s="1">
        <v>1.3899999999999999E-2</v>
      </c>
      <c r="N648" s="1">
        <v>0.31</v>
      </c>
      <c r="P648" s="1">
        <v>4.2099999999999999E-2</v>
      </c>
    </row>
    <row r="649" spans="1:16" x14ac:dyDescent="0.25">
      <c r="A649" t="s">
        <v>204</v>
      </c>
      <c r="B649" t="s">
        <v>204</v>
      </c>
      <c r="C649">
        <v>2972</v>
      </c>
      <c r="D649" t="s">
        <v>204</v>
      </c>
      <c r="E649">
        <v>2972</v>
      </c>
      <c r="F649" s="1">
        <v>1.49E-2</v>
      </c>
      <c r="G649" s="1">
        <v>0.29070000000000001</v>
      </c>
      <c r="H649" s="1">
        <v>0.29199999999999998</v>
      </c>
      <c r="I649" s="1">
        <v>0.21970000000000001</v>
      </c>
      <c r="J649" s="1">
        <v>1.1000000000000001E-3</v>
      </c>
      <c r="K649" s="1">
        <v>3.3799999999999997E-2</v>
      </c>
      <c r="L649" s="1">
        <v>2.5499999999999998E-2</v>
      </c>
      <c r="M649" s="1">
        <v>1.6000000000000001E-3</v>
      </c>
      <c r="N649" s="1">
        <v>0.29060000000000002</v>
      </c>
      <c r="O649" s="1">
        <v>2.7000000000000001E-3</v>
      </c>
      <c r="P649" s="1">
        <v>4.65E-2</v>
      </c>
    </row>
    <row r="651" spans="1:16" x14ac:dyDescent="0.25">
      <c r="A651" t="s">
        <v>308</v>
      </c>
    </row>
    <row r="652" spans="1:16" x14ac:dyDescent="0.25">
      <c r="A652" t="s">
        <v>189</v>
      </c>
      <c r="B652" t="s">
        <v>190</v>
      </c>
      <c r="C652" t="s">
        <v>191</v>
      </c>
      <c r="D652" t="s">
        <v>192</v>
      </c>
      <c r="E652" t="s">
        <v>193</v>
      </c>
      <c r="F652" t="s">
        <v>194</v>
      </c>
      <c r="G652" t="s">
        <v>195</v>
      </c>
      <c r="H652" t="s">
        <v>196</v>
      </c>
    </row>
    <row r="653" spans="1:16" x14ac:dyDescent="0.25">
      <c r="A653" t="s">
        <v>197</v>
      </c>
      <c r="B653" t="s">
        <v>198</v>
      </c>
      <c r="C653">
        <v>27.280837114338841</v>
      </c>
      <c r="D653">
        <v>20</v>
      </c>
      <c r="E653">
        <v>1</v>
      </c>
      <c r="F653">
        <v>120</v>
      </c>
      <c r="G653">
        <v>82</v>
      </c>
      <c r="H653">
        <v>2627</v>
      </c>
    </row>
    <row r="654" spans="1:16" x14ac:dyDescent="0.25">
      <c r="A654" t="s">
        <v>199</v>
      </c>
      <c r="B654" t="s">
        <v>198</v>
      </c>
      <c r="C654">
        <v>28.178480771893241</v>
      </c>
      <c r="D654">
        <v>20</v>
      </c>
      <c r="E654">
        <v>1</v>
      </c>
      <c r="F654">
        <v>360</v>
      </c>
      <c r="G654">
        <v>367</v>
      </c>
      <c r="H654">
        <v>2627</v>
      </c>
    </row>
    <row r="655" spans="1:16" x14ac:dyDescent="0.25">
      <c r="A655" t="s">
        <v>200</v>
      </c>
      <c r="B655" t="s">
        <v>198</v>
      </c>
      <c r="C655">
        <v>21.699528921740811</v>
      </c>
      <c r="D655">
        <v>20</v>
      </c>
      <c r="E655">
        <v>1</v>
      </c>
      <c r="F655">
        <v>180</v>
      </c>
      <c r="G655">
        <v>387</v>
      </c>
      <c r="H655">
        <v>2627</v>
      </c>
    </row>
    <row r="656" spans="1:16" x14ac:dyDescent="0.25">
      <c r="A656" t="s">
        <v>201</v>
      </c>
      <c r="B656" t="s">
        <v>198</v>
      </c>
      <c r="C656">
        <v>26.47356395768049</v>
      </c>
      <c r="D656">
        <v>20</v>
      </c>
      <c r="E656">
        <v>2</v>
      </c>
      <c r="F656">
        <v>240</v>
      </c>
      <c r="G656">
        <v>255</v>
      </c>
      <c r="H656">
        <v>2627</v>
      </c>
    </row>
    <row r="657" spans="1:8" x14ac:dyDescent="0.25">
      <c r="A657" t="s">
        <v>202</v>
      </c>
      <c r="B657" t="s">
        <v>198</v>
      </c>
      <c r="C657">
        <v>26.308952503246172</v>
      </c>
      <c r="D657">
        <v>20</v>
      </c>
      <c r="E657">
        <v>1</v>
      </c>
      <c r="F657">
        <v>90</v>
      </c>
      <c r="G657">
        <v>96</v>
      </c>
      <c r="H657">
        <v>2627</v>
      </c>
    </row>
    <row r="658" spans="1:8" x14ac:dyDescent="0.25">
      <c r="A658" t="s">
        <v>199</v>
      </c>
      <c r="B658" t="s">
        <v>203</v>
      </c>
      <c r="C658">
        <v>23.328705012012868</v>
      </c>
      <c r="D658">
        <v>20</v>
      </c>
      <c r="E658">
        <v>1</v>
      </c>
      <c r="F658">
        <v>120</v>
      </c>
      <c r="G658">
        <v>528</v>
      </c>
      <c r="H658">
        <v>2627</v>
      </c>
    </row>
    <row r="659" spans="1:8" x14ac:dyDescent="0.25">
      <c r="A659" t="s">
        <v>200</v>
      </c>
      <c r="B659" t="s">
        <v>203</v>
      </c>
      <c r="C659">
        <v>18.95946385692551</v>
      </c>
      <c r="D659">
        <v>15</v>
      </c>
      <c r="E659">
        <v>1</v>
      </c>
      <c r="F659">
        <v>180</v>
      </c>
      <c r="G659">
        <v>502</v>
      </c>
      <c r="H659">
        <v>2627</v>
      </c>
    </row>
    <row r="660" spans="1:8" x14ac:dyDescent="0.25">
      <c r="A660" t="s">
        <v>201</v>
      </c>
      <c r="B660" t="s">
        <v>203</v>
      </c>
      <c r="C660">
        <v>23.209956124126151</v>
      </c>
      <c r="D660">
        <v>20</v>
      </c>
      <c r="E660">
        <v>2</v>
      </c>
      <c r="F660">
        <v>180</v>
      </c>
      <c r="G660">
        <v>320</v>
      </c>
      <c r="H660">
        <v>2627</v>
      </c>
    </row>
    <row r="661" spans="1:8" x14ac:dyDescent="0.25">
      <c r="A661" t="s">
        <v>202</v>
      </c>
      <c r="B661" t="s">
        <v>203</v>
      </c>
      <c r="C661">
        <v>20.77866592463015</v>
      </c>
      <c r="D661">
        <v>15</v>
      </c>
      <c r="E661">
        <v>2</v>
      </c>
      <c r="F661">
        <v>90</v>
      </c>
      <c r="G661">
        <v>90</v>
      </c>
      <c r="H661">
        <v>2627</v>
      </c>
    </row>
    <row r="662" spans="1:8" x14ac:dyDescent="0.25">
      <c r="A662" t="s">
        <v>204</v>
      </c>
      <c r="B662" t="s">
        <v>204</v>
      </c>
      <c r="C662">
        <v>22.944154122604932</v>
      </c>
      <c r="D662">
        <v>20</v>
      </c>
      <c r="E662">
        <v>1</v>
      </c>
      <c r="F662">
        <v>360</v>
      </c>
      <c r="G662">
        <v>2627</v>
      </c>
      <c r="H662">
        <v>2627</v>
      </c>
    </row>
    <row r="664" spans="1:8" x14ac:dyDescent="0.25">
      <c r="A664" t="s">
        <v>309</v>
      </c>
    </row>
    <row r="665" spans="1:8" x14ac:dyDescent="0.25">
      <c r="A665" t="s">
        <v>190</v>
      </c>
      <c r="B665" t="s">
        <v>195</v>
      </c>
      <c r="C665" t="s">
        <v>189</v>
      </c>
      <c r="D665" t="s">
        <v>196</v>
      </c>
      <c r="E665" t="s">
        <v>220</v>
      </c>
      <c r="F665" t="s">
        <v>207</v>
      </c>
      <c r="G665" t="s">
        <v>215</v>
      </c>
      <c r="H665" t="s">
        <v>208</v>
      </c>
    </row>
    <row r="666" spans="1:8" x14ac:dyDescent="0.25">
      <c r="A666" t="s">
        <v>198</v>
      </c>
      <c r="B666">
        <v>82</v>
      </c>
      <c r="C666" t="s">
        <v>197</v>
      </c>
      <c r="D666">
        <v>2633</v>
      </c>
      <c r="F666" s="1">
        <v>0.25690000000000002</v>
      </c>
      <c r="H666" s="1">
        <v>0.74309999999999998</v>
      </c>
    </row>
    <row r="667" spans="1:8" x14ac:dyDescent="0.25">
      <c r="A667" t="s">
        <v>198</v>
      </c>
      <c r="B667">
        <v>368</v>
      </c>
      <c r="C667" t="s">
        <v>199</v>
      </c>
      <c r="D667">
        <v>2633</v>
      </c>
      <c r="E667" s="1">
        <v>2.3999999999999998E-3</v>
      </c>
      <c r="F667" s="1">
        <v>0.3392</v>
      </c>
      <c r="H667" s="1">
        <v>0.65839999999999999</v>
      </c>
    </row>
    <row r="668" spans="1:8" x14ac:dyDescent="0.25">
      <c r="A668" t="s">
        <v>198</v>
      </c>
      <c r="B668">
        <v>387</v>
      </c>
      <c r="C668" t="s">
        <v>200</v>
      </c>
      <c r="D668">
        <v>2633</v>
      </c>
      <c r="E668" s="1">
        <v>6.7999999999999996E-3</v>
      </c>
      <c r="F668" s="1">
        <v>0.39860000000000001</v>
      </c>
      <c r="G668" s="1">
        <v>5.4000000000000003E-3</v>
      </c>
      <c r="H668" s="1">
        <v>0.58919999999999995</v>
      </c>
    </row>
    <row r="669" spans="1:8" x14ac:dyDescent="0.25">
      <c r="A669" t="s">
        <v>198</v>
      </c>
      <c r="B669">
        <v>256</v>
      </c>
      <c r="C669" t="s">
        <v>201</v>
      </c>
      <c r="D669">
        <v>2633</v>
      </c>
      <c r="E669" s="1">
        <v>3.5000000000000001E-3</v>
      </c>
      <c r="F669" s="1">
        <v>0.38119999999999998</v>
      </c>
      <c r="H669" s="1">
        <v>0.61529999999999996</v>
      </c>
    </row>
    <row r="670" spans="1:8" x14ac:dyDescent="0.25">
      <c r="A670" t="s">
        <v>198</v>
      </c>
      <c r="B670">
        <v>96</v>
      </c>
      <c r="C670" t="s">
        <v>202</v>
      </c>
      <c r="D670">
        <v>2633</v>
      </c>
      <c r="F670" s="1">
        <v>0.38129999999999997</v>
      </c>
      <c r="H670" s="1">
        <v>0.61870000000000003</v>
      </c>
    </row>
    <row r="671" spans="1:8" x14ac:dyDescent="0.25">
      <c r="A671" t="s">
        <v>203</v>
      </c>
      <c r="B671">
        <v>530</v>
      </c>
      <c r="C671" t="s">
        <v>199</v>
      </c>
      <c r="D671">
        <v>2633</v>
      </c>
      <c r="E671" s="1">
        <v>1.6000000000000001E-3</v>
      </c>
      <c r="F671" s="1">
        <v>0.1474</v>
      </c>
      <c r="H671" s="1">
        <v>0.85099999999999998</v>
      </c>
    </row>
    <row r="672" spans="1:8" x14ac:dyDescent="0.25">
      <c r="A672" t="s">
        <v>203</v>
      </c>
      <c r="B672">
        <v>503</v>
      </c>
      <c r="C672" t="s">
        <v>200</v>
      </c>
      <c r="D672">
        <v>2633</v>
      </c>
      <c r="E672" s="1">
        <v>4.0000000000000002E-4</v>
      </c>
      <c r="F672" s="1">
        <v>0.2722</v>
      </c>
      <c r="H672" s="1">
        <v>0.72740000000000005</v>
      </c>
    </row>
    <row r="673" spans="1:9" x14ac:dyDescent="0.25">
      <c r="A673" t="s">
        <v>203</v>
      </c>
      <c r="B673">
        <v>321</v>
      </c>
      <c r="C673" t="s">
        <v>201</v>
      </c>
      <c r="D673">
        <v>2633</v>
      </c>
      <c r="F673" s="1">
        <v>0.33050000000000002</v>
      </c>
      <c r="H673" s="1">
        <v>0.66949999999999998</v>
      </c>
    </row>
    <row r="674" spans="1:9" x14ac:dyDescent="0.25">
      <c r="A674" t="s">
        <v>203</v>
      </c>
      <c r="B674">
        <v>90</v>
      </c>
      <c r="C674" t="s">
        <v>202</v>
      </c>
      <c r="D674">
        <v>2633</v>
      </c>
      <c r="F674" s="1">
        <v>0.114</v>
      </c>
      <c r="G674" s="1">
        <v>9.9000000000000008E-3</v>
      </c>
      <c r="H674" s="1">
        <v>0.87609999999999999</v>
      </c>
    </row>
    <row r="675" spans="1:9" x14ac:dyDescent="0.25">
      <c r="A675" t="s">
        <v>204</v>
      </c>
      <c r="B675">
        <v>2633</v>
      </c>
      <c r="C675" t="s">
        <v>204</v>
      </c>
      <c r="D675">
        <v>2633</v>
      </c>
      <c r="E675" s="1">
        <v>1.6999999999999999E-3</v>
      </c>
      <c r="F675" s="1">
        <v>0.28970000000000001</v>
      </c>
      <c r="G675" s="1">
        <v>1.1999999999999999E-3</v>
      </c>
      <c r="H675" s="1">
        <v>0.70750000000000002</v>
      </c>
    </row>
    <row r="677" spans="1:9" x14ac:dyDescent="0.25">
      <c r="A677" t="s">
        <v>310</v>
      </c>
    </row>
    <row r="678" spans="1:9" x14ac:dyDescent="0.25">
      <c r="A678" t="s">
        <v>190</v>
      </c>
      <c r="B678" t="s">
        <v>206</v>
      </c>
      <c r="C678" t="s">
        <v>195</v>
      </c>
      <c r="D678" t="s">
        <v>189</v>
      </c>
      <c r="E678" t="s">
        <v>196</v>
      </c>
      <c r="F678" t="s">
        <v>220</v>
      </c>
      <c r="G678" t="s">
        <v>207</v>
      </c>
      <c r="H678" t="s">
        <v>215</v>
      </c>
      <c r="I678" t="s">
        <v>208</v>
      </c>
    </row>
    <row r="679" spans="1:9" x14ac:dyDescent="0.25">
      <c r="A679" t="s">
        <v>198</v>
      </c>
      <c r="B679" t="s">
        <v>228</v>
      </c>
      <c r="C679">
        <v>33</v>
      </c>
      <c r="D679" t="s">
        <v>197</v>
      </c>
      <c r="E679">
        <v>2633</v>
      </c>
      <c r="G679" s="1">
        <v>0.34799999999999998</v>
      </c>
      <c r="I679" s="1">
        <v>0.65200000000000002</v>
      </c>
    </row>
    <row r="680" spans="1:9" x14ac:dyDescent="0.25">
      <c r="A680" t="s">
        <v>198</v>
      </c>
      <c r="B680" t="s">
        <v>229</v>
      </c>
      <c r="C680">
        <v>49</v>
      </c>
      <c r="D680" t="s">
        <v>197</v>
      </c>
      <c r="E680">
        <v>2633</v>
      </c>
      <c r="G680" s="1">
        <v>0.18759999999999999</v>
      </c>
      <c r="I680" s="1">
        <v>0.81240000000000001</v>
      </c>
    </row>
    <row r="681" spans="1:9" x14ac:dyDescent="0.25">
      <c r="A681" t="s">
        <v>198</v>
      </c>
      <c r="B681" t="s">
        <v>228</v>
      </c>
      <c r="C681">
        <v>145</v>
      </c>
      <c r="D681" t="s">
        <v>199</v>
      </c>
      <c r="E681">
        <v>2633</v>
      </c>
      <c r="F681" s="1">
        <v>9.4000000000000004E-3</v>
      </c>
      <c r="G681" s="1">
        <v>0.43780000000000002</v>
      </c>
      <c r="I681" s="1">
        <v>0.55269999999999997</v>
      </c>
    </row>
    <row r="682" spans="1:9" x14ac:dyDescent="0.25">
      <c r="A682" t="s">
        <v>198</v>
      </c>
      <c r="B682" t="s">
        <v>229</v>
      </c>
      <c r="C682">
        <v>213</v>
      </c>
      <c r="D682" t="s">
        <v>199</v>
      </c>
      <c r="E682">
        <v>2633</v>
      </c>
      <c r="G682" s="1">
        <v>0.30320000000000003</v>
      </c>
      <c r="I682" s="1">
        <v>0.69679999999999997</v>
      </c>
    </row>
    <row r="683" spans="1:9" x14ac:dyDescent="0.25">
      <c r="A683" t="s">
        <v>198</v>
      </c>
      <c r="B683" t="s">
        <v>229</v>
      </c>
      <c r="C683">
        <v>270</v>
      </c>
      <c r="D683" t="s">
        <v>200</v>
      </c>
      <c r="E683">
        <v>2633</v>
      </c>
      <c r="F683" s="1">
        <v>8.9999999999999993E-3</v>
      </c>
      <c r="G683" s="1">
        <v>0.42820000000000003</v>
      </c>
      <c r="H683" s="1">
        <v>6.0000000000000001E-3</v>
      </c>
      <c r="I683" s="1">
        <v>0.55679999999999996</v>
      </c>
    </row>
    <row r="684" spans="1:9" x14ac:dyDescent="0.25">
      <c r="A684" t="s">
        <v>198</v>
      </c>
      <c r="B684" t="s">
        <v>228</v>
      </c>
      <c r="C684">
        <v>112</v>
      </c>
      <c r="D684" t="s">
        <v>200</v>
      </c>
      <c r="E684">
        <v>2633</v>
      </c>
      <c r="G684" s="1">
        <v>0.3034</v>
      </c>
      <c r="H684" s="1">
        <v>3.5000000000000001E-3</v>
      </c>
      <c r="I684" s="1">
        <v>0.69320000000000004</v>
      </c>
    </row>
    <row r="685" spans="1:9" x14ac:dyDescent="0.25">
      <c r="A685" t="s">
        <v>198</v>
      </c>
      <c r="B685" t="s">
        <v>228</v>
      </c>
      <c r="C685">
        <v>95</v>
      </c>
      <c r="D685" t="s">
        <v>201</v>
      </c>
      <c r="E685">
        <v>2633</v>
      </c>
      <c r="F685" s="1">
        <v>1.66E-2</v>
      </c>
      <c r="G685" s="1">
        <v>0.46750000000000003</v>
      </c>
      <c r="I685" s="1">
        <v>0.51590000000000003</v>
      </c>
    </row>
    <row r="686" spans="1:9" x14ac:dyDescent="0.25">
      <c r="A686" t="s">
        <v>198</v>
      </c>
      <c r="B686" t="s">
        <v>229</v>
      </c>
      <c r="C686">
        <v>155</v>
      </c>
      <c r="D686" t="s">
        <v>201</v>
      </c>
      <c r="E686">
        <v>2633</v>
      </c>
      <c r="G686" s="1">
        <v>0.35570000000000002</v>
      </c>
      <c r="I686" s="1">
        <v>0.64429999999999998</v>
      </c>
    </row>
    <row r="687" spans="1:9" s="29" customFormat="1" x14ac:dyDescent="0.25">
      <c r="A687" s="29" t="s">
        <v>198</v>
      </c>
      <c r="B687" s="29" t="s">
        <v>228</v>
      </c>
      <c r="C687" s="29">
        <v>28</v>
      </c>
      <c r="D687" s="29" t="s">
        <v>202</v>
      </c>
      <c r="E687" s="29">
        <v>2633</v>
      </c>
      <c r="G687" s="30">
        <v>0.49780000000000002</v>
      </c>
      <c r="I687" s="30">
        <v>0.50219999999999998</v>
      </c>
    </row>
    <row r="688" spans="1:9" x14ac:dyDescent="0.25">
      <c r="A688" t="s">
        <v>198</v>
      </c>
      <c r="B688" t="s">
        <v>229</v>
      </c>
      <c r="C688">
        <v>68</v>
      </c>
      <c r="D688" t="s">
        <v>202</v>
      </c>
      <c r="E688">
        <v>2633</v>
      </c>
      <c r="G688" s="1">
        <v>0.34520000000000001</v>
      </c>
      <c r="I688" s="1">
        <v>0.65480000000000005</v>
      </c>
    </row>
    <row r="689" spans="1:9" x14ac:dyDescent="0.25">
      <c r="A689" t="s">
        <v>203</v>
      </c>
      <c r="B689" t="s">
        <v>229</v>
      </c>
      <c r="C689">
        <v>370</v>
      </c>
      <c r="D689" t="s">
        <v>199</v>
      </c>
      <c r="E689">
        <v>2633</v>
      </c>
      <c r="F689" s="1">
        <v>1.1999999999999999E-3</v>
      </c>
      <c r="G689" s="1">
        <v>0.13669999999999999</v>
      </c>
      <c r="I689" s="1">
        <v>0.86209999999999998</v>
      </c>
    </row>
    <row r="690" spans="1:9" x14ac:dyDescent="0.25">
      <c r="A690" t="s">
        <v>203</v>
      </c>
      <c r="B690" t="s">
        <v>228</v>
      </c>
      <c r="C690">
        <v>150</v>
      </c>
      <c r="D690" t="s">
        <v>199</v>
      </c>
      <c r="E690">
        <v>2633</v>
      </c>
      <c r="F690" s="1">
        <v>4.7999999999999996E-3</v>
      </c>
      <c r="G690" s="1">
        <v>0.223</v>
      </c>
      <c r="I690" s="1">
        <v>0.7722</v>
      </c>
    </row>
    <row r="691" spans="1:9" x14ac:dyDescent="0.25">
      <c r="A691" t="s">
        <v>203</v>
      </c>
      <c r="B691" t="s">
        <v>229</v>
      </c>
      <c r="C691">
        <v>347</v>
      </c>
      <c r="D691" t="s">
        <v>200</v>
      </c>
      <c r="E691">
        <v>2633</v>
      </c>
      <c r="G691" s="1">
        <v>0.2737</v>
      </c>
      <c r="I691" s="1">
        <v>0.72629999999999995</v>
      </c>
    </row>
    <row r="692" spans="1:9" x14ac:dyDescent="0.25">
      <c r="A692" t="s">
        <v>203</v>
      </c>
      <c r="B692" t="s">
        <v>228</v>
      </c>
      <c r="C692">
        <v>155</v>
      </c>
      <c r="D692" t="s">
        <v>200</v>
      </c>
      <c r="E692">
        <v>2633</v>
      </c>
      <c r="F692" s="1">
        <v>2.0999999999999999E-3</v>
      </c>
      <c r="G692" s="1">
        <v>0.26569999999999999</v>
      </c>
      <c r="I692" s="1">
        <v>0.73209999999999997</v>
      </c>
    </row>
    <row r="693" spans="1:9" x14ac:dyDescent="0.25">
      <c r="A693" t="s">
        <v>203</v>
      </c>
      <c r="B693" t="s">
        <v>229</v>
      </c>
      <c r="C693">
        <v>137</v>
      </c>
      <c r="D693" t="s">
        <v>201</v>
      </c>
      <c r="E693">
        <v>2633</v>
      </c>
      <c r="G693" s="1">
        <v>0.2979</v>
      </c>
      <c r="I693" s="1">
        <v>0.70209999999999995</v>
      </c>
    </row>
    <row r="694" spans="1:9" x14ac:dyDescent="0.25">
      <c r="A694" t="s">
        <v>203</v>
      </c>
      <c r="B694" t="s">
        <v>228</v>
      </c>
      <c r="C694">
        <v>177</v>
      </c>
      <c r="D694" t="s">
        <v>201</v>
      </c>
      <c r="E694">
        <v>2633</v>
      </c>
      <c r="G694" s="1">
        <v>0.43490000000000001</v>
      </c>
      <c r="I694" s="1">
        <v>0.56510000000000005</v>
      </c>
    </row>
    <row r="695" spans="1:9" x14ac:dyDescent="0.25">
      <c r="A695" t="s">
        <v>203</v>
      </c>
      <c r="B695" t="s">
        <v>228</v>
      </c>
      <c r="C695">
        <v>34</v>
      </c>
      <c r="D695" t="s">
        <v>202</v>
      </c>
      <c r="E695">
        <v>2633</v>
      </c>
      <c r="G695" s="1">
        <v>0.2014</v>
      </c>
      <c r="I695" s="1">
        <v>0.79859999999999998</v>
      </c>
    </row>
    <row r="696" spans="1:9" x14ac:dyDescent="0.25">
      <c r="A696" t="s">
        <v>203</v>
      </c>
      <c r="B696" t="s">
        <v>229</v>
      </c>
      <c r="C696">
        <v>56</v>
      </c>
      <c r="D696" t="s">
        <v>202</v>
      </c>
      <c r="E696">
        <v>2633</v>
      </c>
      <c r="G696" s="1">
        <v>7.9600000000000004E-2</v>
      </c>
      <c r="H696" s="1">
        <v>1.38E-2</v>
      </c>
      <c r="I696" s="1">
        <v>0.90659999999999996</v>
      </c>
    </row>
    <row r="697" spans="1:9" x14ac:dyDescent="0.25">
      <c r="A697" t="s">
        <v>204</v>
      </c>
      <c r="B697" t="s">
        <v>204</v>
      </c>
      <c r="C697">
        <v>2633</v>
      </c>
      <c r="D697" t="s">
        <v>204</v>
      </c>
      <c r="E697">
        <v>2633</v>
      </c>
      <c r="F697" s="1">
        <v>1.6999999999999999E-3</v>
      </c>
      <c r="G697" s="1">
        <v>0.28970000000000001</v>
      </c>
      <c r="H697" s="1">
        <v>1.1999999999999999E-3</v>
      </c>
      <c r="I697" s="1">
        <v>0.70750000000000002</v>
      </c>
    </row>
    <row r="699" spans="1:9" x14ac:dyDescent="0.25">
      <c r="A699" t="s">
        <v>311</v>
      </c>
    </row>
    <row r="700" spans="1:9" x14ac:dyDescent="0.25">
      <c r="A700" t="s">
        <v>190</v>
      </c>
      <c r="B700" t="s">
        <v>195</v>
      </c>
      <c r="C700" t="s">
        <v>189</v>
      </c>
      <c r="D700" t="s">
        <v>196</v>
      </c>
      <c r="E700" t="s">
        <v>220</v>
      </c>
      <c r="F700" t="s">
        <v>207</v>
      </c>
      <c r="G700" t="s">
        <v>208</v>
      </c>
    </row>
    <row r="701" spans="1:9" x14ac:dyDescent="0.25">
      <c r="A701" t="s">
        <v>198</v>
      </c>
      <c r="B701">
        <v>61</v>
      </c>
      <c r="C701" t="s">
        <v>197</v>
      </c>
      <c r="D701">
        <v>1720</v>
      </c>
      <c r="F701" s="1">
        <v>4.7100000000000003E-2</v>
      </c>
      <c r="G701" s="1">
        <v>0.95289999999999997</v>
      </c>
    </row>
    <row r="702" spans="1:9" x14ac:dyDescent="0.25">
      <c r="A702" t="s">
        <v>198</v>
      </c>
      <c r="B702">
        <v>219</v>
      </c>
      <c r="C702" t="s">
        <v>199</v>
      </c>
      <c r="D702">
        <v>1720</v>
      </c>
      <c r="F702" s="1">
        <v>4.7199999999999999E-2</v>
      </c>
      <c r="G702" s="1">
        <v>0.95279999999999998</v>
      </c>
    </row>
    <row r="703" spans="1:9" x14ac:dyDescent="0.25">
      <c r="A703" t="s">
        <v>198</v>
      </c>
      <c r="B703">
        <v>235</v>
      </c>
      <c r="C703" t="s">
        <v>200</v>
      </c>
      <c r="D703">
        <v>1720</v>
      </c>
      <c r="F703" s="1">
        <v>4.6100000000000002E-2</v>
      </c>
      <c r="G703" s="1">
        <v>0.95389999999999997</v>
      </c>
    </row>
    <row r="704" spans="1:9" x14ac:dyDescent="0.25">
      <c r="A704" t="s">
        <v>198</v>
      </c>
      <c r="B704">
        <v>151</v>
      </c>
      <c r="C704" t="s">
        <v>201</v>
      </c>
      <c r="D704">
        <v>1720</v>
      </c>
      <c r="E704" s="1">
        <v>1.26E-2</v>
      </c>
      <c r="F704" s="1">
        <v>3.9800000000000002E-2</v>
      </c>
      <c r="G704" s="1">
        <v>0.9476</v>
      </c>
    </row>
    <row r="705" spans="1:8" x14ac:dyDescent="0.25">
      <c r="A705" t="s">
        <v>198</v>
      </c>
      <c r="B705">
        <v>63</v>
      </c>
      <c r="C705" t="s">
        <v>202</v>
      </c>
      <c r="D705">
        <v>1720</v>
      </c>
      <c r="F705" s="1">
        <v>6.3100000000000003E-2</v>
      </c>
      <c r="G705" s="1">
        <v>0.93689999999999996</v>
      </c>
    </row>
    <row r="706" spans="1:8" x14ac:dyDescent="0.25">
      <c r="A706" t="s">
        <v>203</v>
      </c>
      <c r="B706">
        <v>353</v>
      </c>
      <c r="C706" t="s">
        <v>199</v>
      </c>
      <c r="D706">
        <v>1720</v>
      </c>
      <c r="F706" s="1">
        <v>8.0000000000000002E-3</v>
      </c>
      <c r="G706" s="1">
        <v>0.99199999999999999</v>
      </c>
    </row>
    <row r="707" spans="1:8" x14ac:dyDescent="0.25">
      <c r="A707" t="s">
        <v>203</v>
      </c>
      <c r="B707">
        <v>363</v>
      </c>
      <c r="C707" t="s">
        <v>200</v>
      </c>
      <c r="D707">
        <v>1720</v>
      </c>
      <c r="F707" s="1">
        <v>8.0000000000000002E-3</v>
      </c>
      <c r="G707" s="1">
        <v>0.99199999999999999</v>
      </c>
    </row>
    <row r="708" spans="1:8" x14ac:dyDescent="0.25">
      <c r="A708" t="s">
        <v>203</v>
      </c>
      <c r="B708">
        <v>200</v>
      </c>
      <c r="C708" t="s">
        <v>201</v>
      </c>
      <c r="D708">
        <v>1720</v>
      </c>
      <c r="F708" s="1">
        <v>9.7000000000000003E-3</v>
      </c>
      <c r="G708" s="1">
        <v>0.99029999999999996</v>
      </c>
    </row>
    <row r="709" spans="1:8" x14ac:dyDescent="0.25">
      <c r="A709" t="s">
        <v>203</v>
      </c>
      <c r="B709">
        <v>75</v>
      </c>
      <c r="C709" t="s">
        <v>202</v>
      </c>
      <c r="D709">
        <v>1720</v>
      </c>
      <c r="G709" s="1">
        <v>1</v>
      </c>
    </row>
    <row r="710" spans="1:8" x14ac:dyDescent="0.25">
      <c r="A710" t="s">
        <v>204</v>
      </c>
      <c r="B710">
        <v>1720</v>
      </c>
      <c r="C710" t="s">
        <v>204</v>
      </c>
      <c r="D710">
        <v>1720</v>
      </c>
      <c r="E710" s="1">
        <v>5.0000000000000001E-4</v>
      </c>
      <c r="F710" s="1">
        <v>2.47E-2</v>
      </c>
      <c r="G710" s="1">
        <v>0.9748</v>
      </c>
    </row>
    <row r="712" spans="1:8" x14ac:dyDescent="0.25">
      <c r="A712" t="s">
        <v>312</v>
      </c>
    </row>
    <row r="713" spans="1:8" x14ac:dyDescent="0.25">
      <c r="A713" t="s">
        <v>190</v>
      </c>
      <c r="B713" t="s">
        <v>206</v>
      </c>
      <c r="C713" t="s">
        <v>195</v>
      </c>
      <c r="D713" t="s">
        <v>189</v>
      </c>
      <c r="E713" t="s">
        <v>196</v>
      </c>
      <c r="F713" t="s">
        <v>220</v>
      </c>
      <c r="G713" t="s">
        <v>207</v>
      </c>
      <c r="H713" t="s">
        <v>208</v>
      </c>
    </row>
    <row r="714" spans="1:8" s="29" customFormat="1" x14ac:dyDescent="0.25">
      <c r="A714" s="29" t="s">
        <v>198</v>
      </c>
      <c r="B714" s="29" t="s">
        <v>228</v>
      </c>
      <c r="C714" s="29">
        <v>21</v>
      </c>
      <c r="D714" s="29" t="s">
        <v>197</v>
      </c>
      <c r="E714" s="29">
        <v>1720</v>
      </c>
      <c r="H714" s="30">
        <v>1</v>
      </c>
    </row>
    <row r="715" spans="1:8" x14ac:dyDescent="0.25">
      <c r="A715" t="s">
        <v>198</v>
      </c>
      <c r="B715" t="s">
        <v>229</v>
      </c>
      <c r="C715">
        <v>40</v>
      </c>
      <c r="D715" t="s">
        <v>197</v>
      </c>
      <c r="E715">
        <v>1720</v>
      </c>
      <c r="G715" s="1">
        <v>7.5800000000000006E-2</v>
      </c>
      <c r="H715" s="1">
        <v>0.92420000000000002</v>
      </c>
    </row>
    <row r="716" spans="1:8" x14ac:dyDescent="0.25">
      <c r="A716" t="s">
        <v>198</v>
      </c>
      <c r="B716" t="s">
        <v>228</v>
      </c>
      <c r="C716">
        <v>82</v>
      </c>
      <c r="D716" t="s">
        <v>199</v>
      </c>
      <c r="E716">
        <v>1720</v>
      </c>
      <c r="G716" s="1">
        <v>2.3400000000000001E-2</v>
      </c>
      <c r="H716" s="1">
        <v>0.97660000000000002</v>
      </c>
    </row>
    <row r="717" spans="1:8" x14ac:dyDescent="0.25">
      <c r="A717" t="s">
        <v>198</v>
      </c>
      <c r="B717" t="s">
        <v>229</v>
      </c>
      <c r="C717">
        <v>132</v>
      </c>
      <c r="D717" t="s">
        <v>199</v>
      </c>
      <c r="E717">
        <v>1720</v>
      </c>
      <c r="G717" s="1">
        <v>5.4100000000000002E-2</v>
      </c>
      <c r="H717" s="1">
        <v>0.94589999999999996</v>
      </c>
    </row>
    <row r="718" spans="1:8" x14ac:dyDescent="0.25">
      <c r="A718" t="s">
        <v>198</v>
      </c>
      <c r="B718" t="s">
        <v>229</v>
      </c>
      <c r="C718">
        <v>153</v>
      </c>
      <c r="D718" t="s">
        <v>200</v>
      </c>
      <c r="E718">
        <v>1720</v>
      </c>
      <c r="G718" s="1">
        <v>4.6899999999999997E-2</v>
      </c>
      <c r="H718" s="1">
        <v>0.95309999999999995</v>
      </c>
    </row>
    <row r="719" spans="1:8" x14ac:dyDescent="0.25">
      <c r="A719" t="s">
        <v>198</v>
      </c>
      <c r="B719" t="s">
        <v>228</v>
      </c>
      <c r="C719">
        <v>79</v>
      </c>
      <c r="D719" t="s">
        <v>200</v>
      </c>
      <c r="E719">
        <v>1720</v>
      </c>
      <c r="G719" s="1">
        <v>1.66E-2</v>
      </c>
      <c r="H719" s="1">
        <v>0.98340000000000005</v>
      </c>
    </row>
    <row r="720" spans="1:8" x14ac:dyDescent="0.25">
      <c r="A720" t="s">
        <v>198</v>
      </c>
      <c r="B720" t="s">
        <v>228</v>
      </c>
      <c r="C720">
        <v>53</v>
      </c>
      <c r="D720" t="s">
        <v>201</v>
      </c>
      <c r="E720">
        <v>1720</v>
      </c>
      <c r="F720" s="1">
        <v>7.0499999999999993E-2</v>
      </c>
      <c r="G720" s="1">
        <v>3.5099999999999999E-2</v>
      </c>
      <c r="H720" s="1">
        <v>0.89449999999999996</v>
      </c>
    </row>
    <row r="721" spans="1:19" x14ac:dyDescent="0.25">
      <c r="A721" t="s">
        <v>198</v>
      </c>
      <c r="B721" t="s">
        <v>229</v>
      </c>
      <c r="C721">
        <v>95</v>
      </c>
      <c r="D721" t="s">
        <v>201</v>
      </c>
      <c r="E721">
        <v>1720</v>
      </c>
      <c r="G721" s="1">
        <v>4.1300000000000003E-2</v>
      </c>
      <c r="H721" s="1">
        <v>0.9587</v>
      </c>
    </row>
    <row r="722" spans="1:19" s="29" customFormat="1" x14ac:dyDescent="0.25">
      <c r="A722" s="29" t="s">
        <v>198</v>
      </c>
      <c r="B722" s="29" t="s">
        <v>228</v>
      </c>
      <c r="C722" s="29">
        <v>17</v>
      </c>
      <c r="D722" s="29" t="s">
        <v>202</v>
      </c>
      <c r="E722" s="29">
        <v>1720</v>
      </c>
      <c r="G722" s="30">
        <v>2.1399999999999999E-2</v>
      </c>
      <c r="H722" s="30">
        <v>0.97860000000000003</v>
      </c>
    </row>
    <row r="723" spans="1:19" x14ac:dyDescent="0.25">
      <c r="A723" t="s">
        <v>198</v>
      </c>
      <c r="B723" t="s">
        <v>229</v>
      </c>
      <c r="C723">
        <v>46</v>
      </c>
      <c r="D723" t="s">
        <v>202</v>
      </c>
      <c r="E723">
        <v>1720</v>
      </c>
      <c r="G723" s="1">
        <v>7.2999999999999995E-2</v>
      </c>
      <c r="H723" s="1">
        <v>0.92700000000000005</v>
      </c>
    </row>
    <row r="724" spans="1:19" x14ac:dyDescent="0.25">
      <c r="A724" t="s">
        <v>203</v>
      </c>
      <c r="B724" t="s">
        <v>229</v>
      </c>
      <c r="C724">
        <v>258</v>
      </c>
      <c r="D724" t="s">
        <v>199</v>
      </c>
      <c r="E724">
        <v>1720</v>
      </c>
      <c r="G724" s="1">
        <v>8.2000000000000007E-3</v>
      </c>
      <c r="H724" s="1">
        <v>0.99180000000000001</v>
      </c>
    </row>
    <row r="725" spans="1:19" x14ac:dyDescent="0.25">
      <c r="A725" t="s">
        <v>203</v>
      </c>
      <c r="B725" t="s">
        <v>228</v>
      </c>
      <c r="C725">
        <v>90</v>
      </c>
      <c r="D725" t="s">
        <v>199</v>
      </c>
      <c r="E725">
        <v>1720</v>
      </c>
      <c r="G725" s="1">
        <v>6.3E-3</v>
      </c>
      <c r="H725" s="1">
        <v>0.99370000000000003</v>
      </c>
    </row>
    <row r="726" spans="1:19" x14ac:dyDescent="0.25">
      <c r="A726" t="s">
        <v>203</v>
      </c>
      <c r="B726" t="s">
        <v>229</v>
      </c>
      <c r="C726">
        <v>247</v>
      </c>
      <c r="D726" t="s">
        <v>200</v>
      </c>
      <c r="E726">
        <v>1720</v>
      </c>
      <c r="G726" s="1">
        <v>7.4999999999999997E-3</v>
      </c>
      <c r="H726" s="1">
        <v>0.99250000000000005</v>
      </c>
    </row>
    <row r="727" spans="1:19" x14ac:dyDescent="0.25">
      <c r="A727" t="s">
        <v>203</v>
      </c>
      <c r="B727" t="s">
        <v>228</v>
      </c>
      <c r="C727">
        <v>115</v>
      </c>
      <c r="D727" t="s">
        <v>200</v>
      </c>
      <c r="E727">
        <v>1720</v>
      </c>
      <c r="G727" s="1">
        <v>1.0200000000000001E-2</v>
      </c>
      <c r="H727" s="1">
        <v>0.98980000000000001</v>
      </c>
    </row>
    <row r="728" spans="1:19" x14ac:dyDescent="0.25">
      <c r="A728" t="s">
        <v>203</v>
      </c>
      <c r="B728" t="s">
        <v>229</v>
      </c>
      <c r="C728">
        <v>88</v>
      </c>
      <c r="D728" t="s">
        <v>201</v>
      </c>
      <c r="E728">
        <v>1720</v>
      </c>
      <c r="G728" s="1">
        <v>6.4999999999999997E-3</v>
      </c>
      <c r="H728" s="1">
        <v>0.99350000000000005</v>
      </c>
    </row>
    <row r="729" spans="1:19" x14ac:dyDescent="0.25">
      <c r="A729" t="s">
        <v>203</v>
      </c>
      <c r="B729" t="s">
        <v>228</v>
      </c>
      <c r="C729">
        <v>108</v>
      </c>
      <c r="D729" t="s">
        <v>201</v>
      </c>
      <c r="E729">
        <v>1720</v>
      </c>
      <c r="G729" s="1">
        <v>2.23E-2</v>
      </c>
      <c r="H729" s="1">
        <v>0.97770000000000001</v>
      </c>
    </row>
    <row r="730" spans="1:19" s="29" customFormat="1" x14ac:dyDescent="0.25">
      <c r="A730" s="29" t="s">
        <v>203</v>
      </c>
      <c r="B730" s="29" t="s">
        <v>228</v>
      </c>
      <c r="C730" s="29">
        <v>26</v>
      </c>
      <c r="D730" s="29" t="s">
        <v>202</v>
      </c>
      <c r="E730" s="29">
        <v>1720</v>
      </c>
      <c r="H730" s="30">
        <v>1</v>
      </c>
    </row>
    <row r="731" spans="1:19" x14ac:dyDescent="0.25">
      <c r="A731" t="s">
        <v>203</v>
      </c>
      <c r="B731" t="s">
        <v>229</v>
      </c>
      <c r="C731">
        <v>49</v>
      </c>
      <c r="D731" t="s">
        <v>202</v>
      </c>
      <c r="E731">
        <v>1720</v>
      </c>
      <c r="H731" s="1">
        <v>1</v>
      </c>
    </row>
    <row r="732" spans="1:19" x14ac:dyDescent="0.25">
      <c r="A732" t="s">
        <v>204</v>
      </c>
      <c r="B732" t="s">
        <v>204</v>
      </c>
      <c r="C732">
        <v>1720</v>
      </c>
      <c r="D732" t="s">
        <v>204</v>
      </c>
      <c r="E732">
        <v>1720</v>
      </c>
      <c r="F732" s="1">
        <v>5.0000000000000001E-4</v>
      </c>
      <c r="G732" s="1">
        <v>2.47E-2</v>
      </c>
      <c r="H732" s="1">
        <v>0.9748</v>
      </c>
    </row>
    <row r="734" spans="1:19" x14ac:dyDescent="0.25">
      <c r="A734" t="s">
        <v>313</v>
      </c>
    </row>
    <row r="735" spans="1:19" x14ac:dyDescent="0.25">
      <c r="A735" t="s">
        <v>190</v>
      </c>
      <c r="B735" t="s">
        <v>195</v>
      </c>
      <c r="C735" t="s">
        <v>189</v>
      </c>
      <c r="D735" t="s">
        <v>196</v>
      </c>
      <c r="E735" t="s">
        <v>220</v>
      </c>
      <c r="F735" t="s">
        <v>314</v>
      </c>
      <c r="G735" t="s">
        <v>315</v>
      </c>
      <c r="H735" t="s">
        <v>316</v>
      </c>
      <c r="I735" t="s">
        <v>317</v>
      </c>
      <c r="J735" t="s">
        <v>318</v>
      </c>
      <c r="K735" t="s">
        <v>319</v>
      </c>
      <c r="L735" t="s">
        <v>320</v>
      </c>
      <c r="M735" t="s">
        <v>321</v>
      </c>
      <c r="N735" t="s">
        <v>322</v>
      </c>
      <c r="O735" t="s">
        <v>323</v>
      </c>
      <c r="P735" t="s">
        <v>324</v>
      </c>
      <c r="Q735" t="s">
        <v>325</v>
      </c>
      <c r="R735" t="s">
        <v>326</v>
      </c>
      <c r="S735" t="s">
        <v>215</v>
      </c>
    </row>
    <row r="736" spans="1:19" s="29" customFormat="1" x14ac:dyDescent="0.25">
      <c r="A736" s="29" t="s">
        <v>198</v>
      </c>
      <c r="B736" s="29">
        <v>3</v>
      </c>
      <c r="C736" s="29" t="s">
        <v>197</v>
      </c>
      <c r="D736" s="29">
        <v>57</v>
      </c>
      <c r="I736" s="30">
        <v>0.60699999999999998</v>
      </c>
      <c r="L736" s="30">
        <v>0.39300000000000002</v>
      </c>
      <c r="M736" s="30">
        <v>0.39300000000000002</v>
      </c>
      <c r="Q736" s="30">
        <v>0.39300000000000002</v>
      </c>
    </row>
    <row r="737" spans="1:19" s="29" customFormat="1" x14ac:dyDescent="0.25">
      <c r="A737" s="29" t="s">
        <v>198</v>
      </c>
      <c r="B737" s="29">
        <v>7</v>
      </c>
      <c r="C737" s="29" t="s">
        <v>199</v>
      </c>
      <c r="D737" s="29">
        <v>57</v>
      </c>
      <c r="E737" s="30">
        <v>6.4199999999999993E-2</v>
      </c>
      <c r="F737" s="30">
        <v>5.5800000000000002E-2</v>
      </c>
      <c r="H737" s="30">
        <v>5.5800000000000002E-2</v>
      </c>
      <c r="J737" s="30">
        <v>5.5800000000000002E-2</v>
      </c>
      <c r="K737" s="30">
        <v>0.55979999999999996</v>
      </c>
      <c r="L737" s="30">
        <v>0.82889999999999997</v>
      </c>
      <c r="M737" s="30">
        <v>4.07E-2</v>
      </c>
      <c r="P737" s="30">
        <v>6.6199999999999995E-2</v>
      </c>
    </row>
    <row r="738" spans="1:19" s="29" customFormat="1" x14ac:dyDescent="0.25">
      <c r="A738" s="29" t="s">
        <v>198</v>
      </c>
      <c r="B738" s="29">
        <v>11</v>
      </c>
      <c r="C738" s="29" t="s">
        <v>200</v>
      </c>
      <c r="D738" s="29">
        <v>57</v>
      </c>
      <c r="E738" s="30">
        <v>0.1666</v>
      </c>
      <c r="H738" s="30">
        <v>0.29089999999999999</v>
      </c>
      <c r="J738" s="30">
        <v>6.3500000000000001E-2</v>
      </c>
      <c r="K738" s="30">
        <v>0.2321</v>
      </c>
      <c r="L738" s="30">
        <v>2.9399999999999999E-2</v>
      </c>
      <c r="M738" s="30">
        <v>6.3500000000000001E-2</v>
      </c>
      <c r="P738" s="30">
        <v>0.20699999999999999</v>
      </c>
      <c r="Q738" s="30">
        <v>0.47889999999999999</v>
      </c>
      <c r="R738" s="30">
        <v>0.1699</v>
      </c>
    </row>
    <row r="739" spans="1:19" s="29" customFormat="1" x14ac:dyDescent="0.25">
      <c r="A739" s="29" t="s">
        <v>198</v>
      </c>
      <c r="B739" s="29">
        <v>8</v>
      </c>
      <c r="C739" s="29" t="s">
        <v>201</v>
      </c>
      <c r="D739" s="29">
        <v>57</v>
      </c>
      <c r="F739" s="30">
        <v>0.38119999999999998</v>
      </c>
      <c r="H739" s="30">
        <v>0.4214</v>
      </c>
      <c r="I739" s="30">
        <v>0.14430000000000001</v>
      </c>
      <c r="J739" s="30">
        <v>0.38119999999999998</v>
      </c>
      <c r="K739" s="30">
        <v>0.38119999999999998</v>
      </c>
      <c r="L739" s="30">
        <v>0.14430000000000001</v>
      </c>
      <c r="P739" s="30">
        <v>0.80259999999999998</v>
      </c>
      <c r="R739" s="30">
        <v>4.02E-2</v>
      </c>
      <c r="S739" s="30">
        <v>1.29E-2</v>
      </c>
    </row>
    <row r="740" spans="1:19" s="29" customFormat="1" x14ac:dyDescent="0.25">
      <c r="A740" s="29" t="s">
        <v>198</v>
      </c>
      <c r="B740" s="29">
        <v>5</v>
      </c>
      <c r="C740" s="29" t="s">
        <v>202</v>
      </c>
      <c r="D740" s="29">
        <v>57</v>
      </c>
      <c r="H740" s="30">
        <v>0.19500000000000001</v>
      </c>
      <c r="M740" s="30">
        <v>6.5000000000000002E-2</v>
      </c>
      <c r="O740" s="30">
        <v>0.39119999999999999</v>
      </c>
      <c r="P740" s="30">
        <v>6.5000000000000002E-2</v>
      </c>
      <c r="R740" s="30">
        <v>0.4138</v>
      </c>
    </row>
    <row r="741" spans="1:19" s="29" customFormat="1" x14ac:dyDescent="0.25">
      <c r="A741" s="29" t="s">
        <v>203</v>
      </c>
      <c r="B741" s="29">
        <v>7</v>
      </c>
      <c r="C741" s="29" t="s">
        <v>199</v>
      </c>
      <c r="D741" s="29">
        <v>57</v>
      </c>
      <c r="G741" s="30">
        <v>7.4700000000000003E-2</v>
      </c>
      <c r="H741" s="30">
        <v>0.61860000000000004</v>
      </c>
      <c r="J741" s="30">
        <v>7.4700000000000003E-2</v>
      </c>
      <c r="M741" s="30">
        <v>0.54390000000000005</v>
      </c>
      <c r="P741" s="30">
        <v>0.77629999999999999</v>
      </c>
      <c r="Q741" s="30">
        <v>7.4200000000000002E-2</v>
      </c>
    </row>
    <row r="742" spans="1:19" s="29" customFormat="1" x14ac:dyDescent="0.25">
      <c r="A742" s="29" t="s">
        <v>203</v>
      </c>
      <c r="B742" s="29">
        <v>9</v>
      </c>
      <c r="C742" s="29" t="s">
        <v>200</v>
      </c>
      <c r="D742" s="29">
        <v>57</v>
      </c>
      <c r="H742" s="30">
        <v>9.3600000000000003E-2</v>
      </c>
      <c r="K742" s="30">
        <v>0.37219999999999998</v>
      </c>
      <c r="M742" s="30">
        <v>7.1300000000000002E-2</v>
      </c>
      <c r="N742" s="30">
        <v>0.3382</v>
      </c>
      <c r="P742" s="30">
        <v>0.3241</v>
      </c>
      <c r="Q742" s="30">
        <v>0.16020000000000001</v>
      </c>
      <c r="R742" s="30">
        <v>8.4000000000000005E-2</v>
      </c>
    </row>
    <row r="743" spans="1:19" s="29" customFormat="1" x14ac:dyDescent="0.25">
      <c r="A743" s="29" t="s">
        <v>203</v>
      </c>
      <c r="B743" s="29">
        <v>7</v>
      </c>
      <c r="C743" s="29" t="s">
        <v>201</v>
      </c>
      <c r="D743" s="29">
        <v>57</v>
      </c>
      <c r="F743" s="30">
        <v>0.17879999999999999</v>
      </c>
      <c r="H743" s="30">
        <v>3.0300000000000001E-2</v>
      </c>
      <c r="M743" s="30">
        <v>0.64249999999999996</v>
      </c>
      <c r="P743" s="30">
        <v>0.20899999999999999</v>
      </c>
      <c r="R743" s="30">
        <v>0.17879999999999999</v>
      </c>
    </row>
    <row r="744" spans="1:19" x14ac:dyDescent="0.25">
      <c r="A744" t="s">
        <v>204</v>
      </c>
      <c r="B744">
        <v>57</v>
      </c>
      <c r="C744" t="s">
        <v>204</v>
      </c>
      <c r="D744">
        <v>57</v>
      </c>
      <c r="E744" s="1">
        <v>4.6800000000000001E-2</v>
      </c>
      <c r="F744" s="1">
        <v>4.0899999999999999E-2</v>
      </c>
      <c r="G744" s="1">
        <v>3.8E-3</v>
      </c>
      <c r="H744" s="1">
        <v>0.1799</v>
      </c>
      <c r="I744" s="1">
        <v>8.8599999999999998E-2</v>
      </c>
      <c r="J744" s="1">
        <v>5.3499999999999999E-2</v>
      </c>
      <c r="K744" s="1">
        <v>0.23330000000000001</v>
      </c>
      <c r="L744" s="1">
        <v>0.25159999999999999</v>
      </c>
      <c r="M744" s="1">
        <v>0.1346</v>
      </c>
      <c r="N744" s="1">
        <v>3.4599999999999999E-2</v>
      </c>
      <c r="O744" s="1">
        <v>8.3000000000000004E-2</v>
      </c>
      <c r="P744" s="1">
        <v>0.19839999999999999</v>
      </c>
      <c r="Q744" s="1">
        <v>0.16489999999999999</v>
      </c>
      <c r="R744" s="1">
        <v>0.13569999999999999</v>
      </c>
      <c r="S744" s="1">
        <v>8.0000000000000004E-4</v>
      </c>
    </row>
    <row r="746" spans="1:19" x14ac:dyDescent="0.25">
      <c r="A746" t="s">
        <v>327</v>
      </c>
    </row>
    <row r="747" spans="1:19" x14ac:dyDescent="0.25">
      <c r="A747" t="s">
        <v>190</v>
      </c>
      <c r="B747" t="s">
        <v>195</v>
      </c>
      <c r="C747" t="s">
        <v>189</v>
      </c>
      <c r="D747" t="s">
        <v>196</v>
      </c>
      <c r="E747" t="s">
        <v>220</v>
      </c>
      <c r="F747" t="s">
        <v>207</v>
      </c>
      <c r="G747" t="s">
        <v>208</v>
      </c>
    </row>
    <row r="748" spans="1:19" s="29" customFormat="1" x14ac:dyDescent="0.25">
      <c r="A748" s="29" t="s">
        <v>198</v>
      </c>
      <c r="B748" s="29">
        <v>3</v>
      </c>
      <c r="C748" s="29" t="s">
        <v>197</v>
      </c>
      <c r="D748" s="29">
        <v>57</v>
      </c>
      <c r="F748" s="30">
        <v>0.78610000000000002</v>
      </c>
      <c r="G748" s="30">
        <v>0.21390000000000001</v>
      </c>
    </row>
    <row r="749" spans="1:19" s="29" customFormat="1" x14ac:dyDescent="0.25">
      <c r="A749" s="29" t="s">
        <v>198</v>
      </c>
      <c r="B749" s="29">
        <v>7</v>
      </c>
      <c r="C749" s="29" t="s">
        <v>199</v>
      </c>
      <c r="D749" s="29">
        <v>57</v>
      </c>
      <c r="E749" s="30">
        <v>6.4199999999999993E-2</v>
      </c>
      <c r="F749" s="30">
        <v>0.9254</v>
      </c>
      <c r="G749" s="30">
        <v>1.04E-2</v>
      </c>
    </row>
    <row r="750" spans="1:19" s="29" customFormat="1" x14ac:dyDescent="0.25">
      <c r="A750" s="29" t="s">
        <v>198</v>
      </c>
      <c r="B750" s="29">
        <v>11</v>
      </c>
      <c r="C750" s="29" t="s">
        <v>200</v>
      </c>
      <c r="D750" s="29">
        <v>57</v>
      </c>
      <c r="F750" s="30">
        <v>0.76990000000000003</v>
      </c>
      <c r="G750" s="30">
        <v>0.2301</v>
      </c>
    </row>
    <row r="751" spans="1:19" s="29" customFormat="1" x14ac:dyDescent="0.25">
      <c r="A751" s="29" t="s">
        <v>198</v>
      </c>
      <c r="B751" s="29">
        <v>8</v>
      </c>
      <c r="C751" s="29" t="s">
        <v>201</v>
      </c>
      <c r="D751" s="29">
        <v>57</v>
      </c>
      <c r="E751" s="30">
        <v>5.4699999999999999E-2</v>
      </c>
      <c r="F751" s="30">
        <v>0.93240000000000001</v>
      </c>
      <c r="G751" s="30">
        <v>1.29E-2</v>
      </c>
    </row>
    <row r="752" spans="1:19" s="29" customFormat="1" x14ac:dyDescent="0.25">
      <c r="A752" s="29" t="s">
        <v>198</v>
      </c>
      <c r="B752" s="29">
        <v>5</v>
      </c>
      <c r="C752" s="29" t="s">
        <v>202</v>
      </c>
      <c r="D752" s="29">
        <v>57</v>
      </c>
      <c r="F752" s="30">
        <v>1</v>
      </c>
    </row>
    <row r="753" spans="1:7" s="29" customFormat="1" x14ac:dyDescent="0.25">
      <c r="A753" s="29" t="s">
        <v>203</v>
      </c>
      <c r="B753" s="29">
        <v>7</v>
      </c>
      <c r="C753" s="29" t="s">
        <v>199</v>
      </c>
      <c r="D753" s="29">
        <v>57</v>
      </c>
      <c r="F753" s="30">
        <v>0.76749999999999996</v>
      </c>
      <c r="G753" s="30">
        <v>0.23250000000000001</v>
      </c>
    </row>
    <row r="754" spans="1:7" s="29" customFormat="1" x14ac:dyDescent="0.25">
      <c r="A754" s="29" t="s">
        <v>203</v>
      </c>
      <c r="B754" s="29">
        <v>9</v>
      </c>
      <c r="C754" s="29" t="s">
        <v>200</v>
      </c>
      <c r="D754" s="29">
        <v>57</v>
      </c>
      <c r="F754" s="30">
        <v>0.57779999999999998</v>
      </c>
      <c r="G754" s="30">
        <v>0.42220000000000002</v>
      </c>
    </row>
    <row r="755" spans="1:7" s="29" customFormat="1" x14ac:dyDescent="0.25">
      <c r="A755" s="29" t="s">
        <v>203</v>
      </c>
      <c r="B755" s="29">
        <v>7</v>
      </c>
      <c r="C755" s="29" t="s">
        <v>201</v>
      </c>
      <c r="D755" s="29">
        <v>57</v>
      </c>
      <c r="F755" s="30">
        <v>0.82120000000000004</v>
      </c>
      <c r="G755" s="30">
        <v>0.17879999999999999</v>
      </c>
    </row>
    <row r="756" spans="1:7" x14ac:dyDescent="0.25">
      <c r="A756" t="s">
        <v>204</v>
      </c>
      <c r="B756">
        <v>57</v>
      </c>
      <c r="C756" t="s">
        <v>204</v>
      </c>
      <c r="D756">
        <v>57</v>
      </c>
      <c r="E756" s="1">
        <v>1.7899999999999999E-2</v>
      </c>
      <c r="F756" s="1">
        <v>0.84740000000000004</v>
      </c>
      <c r="G756" s="1">
        <v>0.13469999999999999</v>
      </c>
    </row>
    <row r="758" spans="1:7" x14ac:dyDescent="0.25">
      <c r="A758" t="s">
        <v>328</v>
      </c>
    </row>
    <row r="759" spans="1:7" x14ac:dyDescent="0.25">
      <c r="A759" t="s">
        <v>190</v>
      </c>
      <c r="B759" t="s">
        <v>195</v>
      </c>
      <c r="C759" t="s">
        <v>189</v>
      </c>
      <c r="D759" t="s">
        <v>196</v>
      </c>
      <c r="E759" t="s">
        <v>329</v>
      </c>
      <c r="F759" t="s">
        <v>330</v>
      </c>
      <c r="G759" t="s">
        <v>331</v>
      </c>
    </row>
    <row r="760" spans="1:7" s="29" customFormat="1" x14ac:dyDescent="0.25">
      <c r="A760" s="29" t="s">
        <v>198</v>
      </c>
      <c r="B760" s="29">
        <v>1</v>
      </c>
      <c r="C760" s="29" t="s">
        <v>197</v>
      </c>
      <c r="D760" s="29">
        <v>11</v>
      </c>
      <c r="E760" s="30">
        <v>1</v>
      </c>
    </row>
    <row r="761" spans="1:7" s="29" customFormat="1" x14ac:dyDescent="0.25">
      <c r="A761" s="29" t="s">
        <v>198</v>
      </c>
      <c r="B761" s="29">
        <v>1</v>
      </c>
      <c r="C761" s="29" t="s">
        <v>199</v>
      </c>
      <c r="D761" s="29">
        <v>11</v>
      </c>
      <c r="F761" s="30">
        <v>1</v>
      </c>
    </row>
    <row r="762" spans="1:7" s="29" customFormat="1" x14ac:dyDescent="0.25">
      <c r="A762" s="29" t="s">
        <v>198</v>
      </c>
      <c r="B762" s="29">
        <v>1</v>
      </c>
      <c r="C762" s="29" t="s">
        <v>200</v>
      </c>
      <c r="D762" s="29">
        <v>11</v>
      </c>
      <c r="E762" s="30">
        <v>1</v>
      </c>
    </row>
    <row r="763" spans="1:7" s="29" customFormat="1" x14ac:dyDescent="0.25">
      <c r="A763" s="29" t="s">
        <v>198</v>
      </c>
      <c r="B763" s="29">
        <v>1</v>
      </c>
      <c r="C763" s="29" t="s">
        <v>201</v>
      </c>
      <c r="D763" s="29">
        <v>11</v>
      </c>
      <c r="E763" s="30">
        <v>1</v>
      </c>
    </row>
    <row r="764" spans="1:7" s="29" customFormat="1" x14ac:dyDescent="0.25">
      <c r="A764" s="29" t="s">
        <v>203</v>
      </c>
      <c r="B764" s="29">
        <v>3</v>
      </c>
      <c r="C764" s="29" t="s">
        <v>199</v>
      </c>
      <c r="D764" s="29">
        <v>11</v>
      </c>
      <c r="E764" s="30">
        <v>0.67859999999999998</v>
      </c>
      <c r="G764" s="30">
        <v>0.32140000000000002</v>
      </c>
    </row>
    <row r="765" spans="1:7" s="29" customFormat="1" x14ac:dyDescent="0.25">
      <c r="A765" s="29" t="s">
        <v>203</v>
      </c>
      <c r="B765" s="29">
        <v>3</v>
      </c>
      <c r="C765" s="29" t="s">
        <v>200</v>
      </c>
      <c r="D765" s="29">
        <v>11</v>
      </c>
      <c r="E765" s="30">
        <v>0.03</v>
      </c>
      <c r="F765" s="30">
        <v>0.97</v>
      </c>
    </row>
    <row r="766" spans="1:7" s="29" customFormat="1" x14ac:dyDescent="0.25">
      <c r="A766" s="29" t="s">
        <v>203</v>
      </c>
      <c r="B766" s="29">
        <v>1</v>
      </c>
      <c r="C766" s="29" t="s">
        <v>201</v>
      </c>
      <c r="D766" s="29">
        <v>11</v>
      </c>
      <c r="E766" s="30">
        <v>1</v>
      </c>
    </row>
    <row r="767" spans="1:7" s="29" customFormat="1" x14ac:dyDescent="0.25">
      <c r="A767" s="29" t="s">
        <v>204</v>
      </c>
      <c r="B767" s="29">
        <v>11</v>
      </c>
      <c r="C767" s="29" t="s">
        <v>204</v>
      </c>
      <c r="D767" s="29">
        <v>11</v>
      </c>
      <c r="E767" s="30">
        <v>0.6069</v>
      </c>
      <c r="F767" s="30">
        <v>0.36180000000000001</v>
      </c>
      <c r="G767" s="30">
        <v>3.1300000000000001E-2</v>
      </c>
    </row>
    <row r="769" spans="1:19" x14ac:dyDescent="0.25">
      <c r="A769" t="s">
        <v>332</v>
      </c>
    </row>
    <row r="770" spans="1:19" x14ac:dyDescent="0.25">
      <c r="A770" t="s">
        <v>190</v>
      </c>
      <c r="B770" t="s">
        <v>195</v>
      </c>
      <c r="C770" t="s">
        <v>189</v>
      </c>
      <c r="D770" t="s">
        <v>196</v>
      </c>
      <c r="E770" t="s">
        <v>333</v>
      </c>
      <c r="F770" t="s">
        <v>334</v>
      </c>
      <c r="G770" t="s">
        <v>335</v>
      </c>
      <c r="H770" t="s">
        <v>220</v>
      </c>
      <c r="I770" t="s">
        <v>336</v>
      </c>
      <c r="J770" t="s">
        <v>337</v>
      </c>
      <c r="K770" t="s">
        <v>271</v>
      </c>
      <c r="L770" t="s">
        <v>235</v>
      </c>
      <c r="M770" t="s">
        <v>215</v>
      </c>
      <c r="N770" t="s">
        <v>338</v>
      </c>
      <c r="O770" t="s">
        <v>339</v>
      </c>
      <c r="P770" t="s">
        <v>340</v>
      </c>
      <c r="Q770" t="s">
        <v>341</v>
      </c>
      <c r="R770" t="s">
        <v>342</v>
      </c>
      <c r="S770" t="s">
        <v>343</v>
      </c>
    </row>
    <row r="771" spans="1:19" x14ac:dyDescent="0.25">
      <c r="A771" t="s">
        <v>198</v>
      </c>
      <c r="B771">
        <v>74</v>
      </c>
      <c r="C771" t="s">
        <v>197</v>
      </c>
      <c r="D771">
        <v>2103</v>
      </c>
      <c r="E771" s="1">
        <v>0.33979999999999999</v>
      </c>
      <c r="F771" s="1">
        <v>0.21049999999999999</v>
      </c>
      <c r="G771" s="1">
        <v>1.24E-2</v>
      </c>
      <c r="I771" s="1">
        <v>6.0900000000000003E-2</v>
      </c>
      <c r="J771" s="1">
        <v>3.5700000000000003E-2</v>
      </c>
      <c r="K771" s="1">
        <v>0.54969999999999997</v>
      </c>
      <c r="N771" s="1">
        <v>2.4799999999999999E-2</v>
      </c>
      <c r="O771" s="1">
        <v>1.6799999999999999E-2</v>
      </c>
      <c r="Q771" s="1">
        <v>5.7000000000000002E-2</v>
      </c>
      <c r="R771" s="1">
        <v>5.6500000000000002E-2</v>
      </c>
      <c r="S771" s="1">
        <v>8.8300000000000003E-2</v>
      </c>
    </row>
    <row r="772" spans="1:19" x14ac:dyDescent="0.25">
      <c r="A772" t="s">
        <v>198</v>
      </c>
      <c r="B772">
        <v>281</v>
      </c>
      <c r="C772" t="s">
        <v>199</v>
      </c>
      <c r="D772">
        <v>2103</v>
      </c>
      <c r="E772" s="1">
        <v>0.27410000000000001</v>
      </c>
      <c r="F772" s="1">
        <v>0.1106</v>
      </c>
      <c r="G772" s="1">
        <v>3.5700000000000003E-2</v>
      </c>
      <c r="I772" s="1">
        <v>7.3800000000000004E-2</v>
      </c>
      <c r="J772" s="1">
        <v>2.41E-2</v>
      </c>
      <c r="K772" s="1">
        <v>0.62250000000000005</v>
      </c>
      <c r="L772" s="1">
        <v>3.0000000000000001E-3</v>
      </c>
      <c r="N772" s="1">
        <v>9.7000000000000003E-3</v>
      </c>
      <c r="O772" s="1">
        <v>2.58E-2</v>
      </c>
      <c r="Q772" s="1">
        <v>1.1900000000000001E-2</v>
      </c>
      <c r="R772" s="1">
        <v>6.0199999999999997E-2</v>
      </c>
      <c r="S772" s="1">
        <v>4.53E-2</v>
      </c>
    </row>
    <row r="773" spans="1:19" x14ac:dyDescent="0.25">
      <c r="A773" t="s">
        <v>198</v>
      </c>
      <c r="B773">
        <v>309</v>
      </c>
      <c r="C773" t="s">
        <v>200</v>
      </c>
      <c r="D773">
        <v>2103</v>
      </c>
      <c r="E773" s="1">
        <v>0.25330000000000003</v>
      </c>
      <c r="F773" s="1">
        <v>0.1641</v>
      </c>
      <c r="G773" s="1">
        <v>1.17E-2</v>
      </c>
      <c r="H773" s="1">
        <v>3.8E-3</v>
      </c>
      <c r="I773" s="1">
        <v>6.3E-3</v>
      </c>
      <c r="J773" s="1">
        <v>2.3999999999999998E-3</v>
      </c>
      <c r="K773" s="1">
        <v>0.6129</v>
      </c>
      <c r="N773" s="1">
        <v>8.2000000000000007E-3</v>
      </c>
      <c r="O773" s="1">
        <v>0.02</v>
      </c>
      <c r="P773" s="1">
        <v>5.8999999999999999E-3</v>
      </c>
      <c r="Q773" s="1">
        <v>3.7400000000000003E-2</v>
      </c>
      <c r="R773" s="1">
        <v>8.5000000000000006E-2</v>
      </c>
      <c r="S773" s="1">
        <v>2.07E-2</v>
      </c>
    </row>
    <row r="774" spans="1:19" x14ac:dyDescent="0.25">
      <c r="A774" t="s">
        <v>198</v>
      </c>
      <c r="B774">
        <v>199</v>
      </c>
      <c r="C774" t="s">
        <v>201</v>
      </c>
      <c r="D774">
        <v>2103</v>
      </c>
      <c r="E774" s="1">
        <v>0.24410000000000001</v>
      </c>
      <c r="F774" s="1">
        <v>9.8400000000000001E-2</v>
      </c>
      <c r="H774" s="1">
        <v>1.17E-2</v>
      </c>
      <c r="I774" s="1">
        <v>1.9E-2</v>
      </c>
      <c r="J774" s="1">
        <v>1.6000000000000001E-3</v>
      </c>
      <c r="K774" s="1">
        <v>0.62109999999999999</v>
      </c>
      <c r="L774" s="1">
        <v>2E-3</v>
      </c>
      <c r="N774" s="1">
        <v>5.3E-3</v>
      </c>
      <c r="O774" s="1">
        <v>7.7000000000000002E-3</v>
      </c>
      <c r="Q774" s="1">
        <v>2.23E-2</v>
      </c>
      <c r="R774" s="1">
        <v>6.88E-2</v>
      </c>
      <c r="S774" s="1">
        <v>7.7899999999999997E-2</v>
      </c>
    </row>
    <row r="775" spans="1:19" x14ac:dyDescent="0.25">
      <c r="A775" t="s">
        <v>198</v>
      </c>
      <c r="B775">
        <v>81</v>
      </c>
      <c r="C775" t="s">
        <v>202</v>
      </c>
      <c r="D775">
        <v>2103</v>
      </c>
      <c r="E775" s="1">
        <v>0.34279999999999999</v>
      </c>
      <c r="F775" s="1">
        <v>0.18590000000000001</v>
      </c>
      <c r="G775" s="1">
        <v>1.17E-2</v>
      </c>
      <c r="I775" s="1">
        <v>1.17E-2</v>
      </c>
      <c r="J775" s="1">
        <v>1.17E-2</v>
      </c>
      <c r="K775" s="1">
        <v>0.55969999999999998</v>
      </c>
      <c r="O775" s="1">
        <v>3.0999999999999999E-3</v>
      </c>
      <c r="P775" s="1">
        <v>2.1999999999999999E-2</v>
      </c>
      <c r="Q775" s="1">
        <v>4.3700000000000003E-2</v>
      </c>
      <c r="R775" s="1">
        <v>6.7699999999999996E-2</v>
      </c>
      <c r="S775" s="1">
        <v>1.3100000000000001E-2</v>
      </c>
    </row>
    <row r="776" spans="1:19" x14ac:dyDescent="0.25">
      <c r="A776" t="s">
        <v>203</v>
      </c>
      <c r="B776">
        <v>431</v>
      </c>
      <c r="C776" t="s">
        <v>199</v>
      </c>
      <c r="D776">
        <v>2103</v>
      </c>
      <c r="E776" s="1">
        <v>0.18110000000000001</v>
      </c>
      <c r="F776" s="1">
        <v>8.6400000000000005E-2</v>
      </c>
      <c r="G776" s="1">
        <v>5.9999999999999995E-4</v>
      </c>
      <c r="H776" s="1">
        <v>6.9999999999999999E-4</v>
      </c>
      <c r="I776" s="1">
        <v>1.4E-2</v>
      </c>
      <c r="J776" s="1">
        <v>1.15E-2</v>
      </c>
      <c r="K776" s="1">
        <v>0.69779999999999998</v>
      </c>
      <c r="L776" s="1">
        <v>3.0300000000000001E-2</v>
      </c>
      <c r="N776" s="1">
        <v>1.6999999999999999E-3</v>
      </c>
      <c r="O776" s="1">
        <v>6.2199999999999998E-2</v>
      </c>
      <c r="P776" s="1">
        <v>2.0000000000000001E-4</v>
      </c>
      <c r="Q776" s="1">
        <v>3.4299999999999997E-2</v>
      </c>
      <c r="R776" s="1">
        <v>4.19E-2</v>
      </c>
      <c r="S776" s="1">
        <v>2.06E-2</v>
      </c>
    </row>
    <row r="777" spans="1:19" x14ac:dyDescent="0.25">
      <c r="A777" t="s">
        <v>203</v>
      </c>
      <c r="B777">
        <v>404</v>
      </c>
      <c r="C777" t="s">
        <v>200</v>
      </c>
      <c r="D777">
        <v>2103</v>
      </c>
      <c r="E777" s="1">
        <v>0.29310000000000003</v>
      </c>
      <c r="F777" s="1">
        <v>0.19939999999999999</v>
      </c>
      <c r="G777" s="1">
        <v>5.0000000000000001E-4</v>
      </c>
      <c r="H777" s="1">
        <v>1.6000000000000001E-3</v>
      </c>
      <c r="I777" s="1">
        <v>2.3199999999999998E-2</v>
      </c>
      <c r="J777" s="1">
        <v>1.47E-2</v>
      </c>
      <c r="K777" s="1">
        <v>0.61</v>
      </c>
      <c r="L777" s="1">
        <v>1.6400000000000001E-2</v>
      </c>
      <c r="M777" s="1">
        <v>2.3E-3</v>
      </c>
      <c r="N777" s="1">
        <v>6.6E-3</v>
      </c>
      <c r="O777" s="1">
        <v>3.7000000000000002E-3</v>
      </c>
      <c r="P777" s="1">
        <v>4.7999999999999996E-3</v>
      </c>
      <c r="Q777" s="1">
        <v>2.3800000000000002E-2</v>
      </c>
      <c r="R777" s="1">
        <v>9.9599999999999994E-2</v>
      </c>
      <c r="S777" s="1">
        <v>2.6200000000000001E-2</v>
      </c>
    </row>
    <row r="778" spans="1:19" x14ac:dyDescent="0.25">
      <c r="A778" t="s">
        <v>203</v>
      </c>
      <c r="B778">
        <v>244</v>
      </c>
      <c r="C778" t="s">
        <v>201</v>
      </c>
      <c r="D778">
        <v>2103</v>
      </c>
      <c r="E778" s="1">
        <v>0.37280000000000002</v>
      </c>
      <c r="F778" s="1">
        <v>9.4299999999999995E-2</v>
      </c>
      <c r="H778" s="1">
        <v>1.6000000000000001E-3</v>
      </c>
      <c r="I778" s="1">
        <v>1.7299999999999999E-2</v>
      </c>
      <c r="J778" s="1">
        <v>1.9800000000000002E-2</v>
      </c>
      <c r="K778" s="1">
        <v>0.57150000000000001</v>
      </c>
      <c r="L778" s="1">
        <v>2.9999999999999997E-4</v>
      </c>
      <c r="N778" s="1">
        <v>2.5999999999999999E-3</v>
      </c>
      <c r="O778" s="1">
        <v>1.66E-2</v>
      </c>
      <c r="Q778" s="1">
        <v>4.6199999999999998E-2</v>
      </c>
      <c r="R778" s="1">
        <v>0.08</v>
      </c>
      <c r="S778" s="1">
        <v>7.4399999999999994E-2</v>
      </c>
    </row>
    <row r="779" spans="1:19" x14ac:dyDescent="0.25">
      <c r="A779" t="s">
        <v>203</v>
      </c>
      <c r="B779">
        <v>80</v>
      </c>
      <c r="C779" t="s">
        <v>202</v>
      </c>
      <c r="D779">
        <v>2103</v>
      </c>
      <c r="E779" s="1">
        <v>0.16339999999999999</v>
      </c>
      <c r="F779" s="1">
        <v>0.1434</v>
      </c>
      <c r="G779" s="1">
        <v>5.4000000000000003E-3</v>
      </c>
      <c r="I779" s="1">
        <v>3.1600000000000003E-2</v>
      </c>
      <c r="J779" s="1">
        <v>5.8500000000000003E-2</v>
      </c>
      <c r="K779" s="1">
        <v>0.6754</v>
      </c>
      <c r="L779" s="1">
        <v>1.1299999999999999E-2</v>
      </c>
      <c r="O779" s="1">
        <v>1.1299999999999999E-2</v>
      </c>
      <c r="P779" s="1">
        <v>3.5400000000000001E-2</v>
      </c>
      <c r="Q779" s="1">
        <v>2.1899999999999999E-2</v>
      </c>
      <c r="R779" s="1">
        <v>5.4399999999999997E-2</v>
      </c>
      <c r="S779" s="1">
        <v>3.44E-2</v>
      </c>
    </row>
    <row r="780" spans="1:19" x14ac:dyDescent="0.25">
      <c r="A780" t="s">
        <v>204</v>
      </c>
      <c r="B780">
        <v>2103</v>
      </c>
      <c r="C780" t="s">
        <v>204</v>
      </c>
      <c r="D780">
        <v>2103</v>
      </c>
      <c r="E780" s="1">
        <v>0.2717</v>
      </c>
      <c r="F780" s="1">
        <v>0.1545</v>
      </c>
      <c r="G780" s="1">
        <v>8.3000000000000001E-3</v>
      </c>
      <c r="H780" s="1">
        <v>1.6000000000000001E-3</v>
      </c>
      <c r="I780" s="1">
        <v>2.75E-2</v>
      </c>
      <c r="J780" s="1">
        <v>1.72E-2</v>
      </c>
      <c r="K780" s="1">
        <v>0.61809999999999998</v>
      </c>
      <c r="L780" s="1">
        <v>1.04E-2</v>
      </c>
      <c r="M780" s="1">
        <v>6.9999999999999999E-4</v>
      </c>
      <c r="N780" s="1">
        <v>6.4999999999999997E-3</v>
      </c>
      <c r="O780" s="1">
        <v>1.9099999999999999E-2</v>
      </c>
      <c r="P780" s="1">
        <v>6.1999999999999998E-3</v>
      </c>
      <c r="Q780" s="1">
        <v>3.0700000000000002E-2</v>
      </c>
      <c r="R780" s="1">
        <v>7.3499999999999996E-2</v>
      </c>
      <c r="S780" s="1">
        <v>3.5400000000000001E-2</v>
      </c>
    </row>
    <row r="782" spans="1:19" x14ac:dyDescent="0.25">
      <c r="A782" t="s">
        <v>344</v>
      </c>
    </row>
    <row r="783" spans="1:19" x14ac:dyDescent="0.25">
      <c r="A783" t="s">
        <v>190</v>
      </c>
      <c r="B783" t="s">
        <v>195</v>
      </c>
      <c r="C783" t="s">
        <v>189</v>
      </c>
      <c r="D783" t="s">
        <v>196</v>
      </c>
      <c r="E783" t="s">
        <v>220</v>
      </c>
      <c r="F783" t="s">
        <v>207</v>
      </c>
      <c r="G783" t="s">
        <v>215</v>
      </c>
      <c r="H783" t="s">
        <v>208</v>
      </c>
    </row>
    <row r="784" spans="1:19" x14ac:dyDescent="0.25">
      <c r="A784" t="s">
        <v>198</v>
      </c>
      <c r="B784">
        <v>45</v>
      </c>
      <c r="C784" t="s">
        <v>197</v>
      </c>
      <c r="D784">
        <v>1818</v>
      </c>
      <c r="E784" s="1">
        <v>6.6799999999999998E-2</v>
      </c>
      <c r="F784" s="1">
        <v>0.29270000000000002</v>
      </c>
      <c r="H784" s="1">
        <v>0.64049999999999996</v>
      </c>
    </row>
    <row r="785" spans="1:8" x14ac:dyDescent="0.25">
      <c r="A785" t="s">
        <v>198</v>
      </c>
      <c r="B785">
        <v>255</v>
      </c>
      <c r="C785" t="s">
        <v>199</v>
      </c>
      <c r="D785">
        <v>1818</v>
      </c>
      <c r="E785" s="1">
        <v>6.0400000000000002E-2</v>
      </c>
      <c r="F785" s="1">
        <v>0.14810000000000001</v>
      </c>
      <c r="G785" s="1">
        <v>5.0000000000000001E-4</v>
      </c>
      <c r="H785" s="1">
        <v>0.79100000000000004</v>
      </c>
    </row>
    <row r="786" spans="1:8" x14ac:dyDescent="0.25">
      <c r="A786" t="s">
        <v>198</v>
      </c>
      <c r="B786">
        <v>257</v>
      </c>
      <c r="C786" t="s">
        <v>200</v>
      </c>
      <c r="D786">
        <v>1818</v>
      </c>
      <c r="E786" s="1">
        <v>0.10920000000000001</v>
      </c>
      <c r="F786" s="1">
        <v>0.23080000000000001</v>
      </c>
      <c r="G786" s="1">
        <v>1E-4</v>
      </c>
      <c r="H786" s="1">
        <v>0.65980000000000005</v>
      </c>
    </row>
    <row r="787" spans="1:8" x14ac:dyDescent="0.25">
      <c r="A787" t="s">
        <v>198</v>
      </c>
      <c r="B787">
        <v>180</v>
      </c>
      <c r="C787" t="s">
        <v>201</v>
      </c>
      <c r="D787">
        <v>1818</v>
      </c>
      <c r="E787" s="1">
        <v>9.64E-2</v>
      </c>
      <c r="F787" s="1">
        <v>0.26090000000000002</v>
      </c>
      <c r="G787" s="1">
        <v>2.5000000000000001E-3</v>
      </c>
      <c r="H787" s="1">
        <v>0.64019999999999999</v>
      </c>
    </row>
    <row r="788" spans="1:8" x14ac:dyDescent="0.25">
      <c r="A788" t="s">
        <v>198</v>
      </c>
      <c r="B788">
        <v>57</v>
      </c>
      <c r="C788" t="s">
        <v>202</v>
      </c>
      <c r="D788">
        <v>1818</v>
      </c>
      <c r="E788" s="1">
        <v>0.1875</v>
      </c>
      <c r="F788" s="1">
        <v>0.16309999999999999</v>
      </c>
      <c r="H788" s="1">
        <v>0.64939999999999998</v>
      </c>
    </row>
    <row r="789" spans="1:8" x14ac:dyDescent="0.25">
      <c r="A789" t="s">
        <v>203</v>
      </c>
      <c r="B789">
        <v>369</v>
      </c>
      <c r="C789" t="s">
        <v>199</v>
      </c>
      <c r="D789">
        <v>1818</v>
      </c>
      <c r="E789" s="1">
        <v>4.6600000000000003E-2</v>
      </c>
      <c r="F789" s="1">
        <v>0.23300000000000001</v>
      </c>
      <c r="H789" s="1">
        <v>0.72040000000000004</v>
      </c>
    </row>
    <row r="790" spans="1:8" x14ac:dyDescent="0.25">
      <c r="A790" t="s">
        <v>203</v>
      </c>
      <c r="B790">
        <v>370</v>
      </c>
      <c r="C790" t="s">
        <v>200</v>
      </c>
      <c r="D790">
        <v>1818</v>
      </c>
      <c r="E790" s="1">
        <v>5.7799999999999997E-2</v>
      </c>
      <c r="F790" s="1">
        <v>7.0199999999999999E-2</v>
      </c>
      <c r="H790" s="1">
        <v>0.872</v>
      </c>
    </row>
    <row r="791" spans="1:8" x14ac:dyDescent="0.25">
      <c r="A791" t="s">
        <v>203</v>
      </c>
      <c r="B791">
        <v>216</v>
      </c>
      <c r="C791" t="s">
        <v>201</v>
      </c>
      <c r="D791">
        <v>1818</v>
      </c>
      <c r="E791" s="1">
        <v>4.7399999999999998E-2</v>
      </c>
      <c r="F791" s="1">
        <v>0.25559999999999999</v>
      </c>
      <c r="G791" s="1">
        <v>1.6000000000000001E-3</v>
      </c>
      <c r="H791" s="1">
        <v>0.69540000000000002</v>
      </c>
    </row>
    <row r="792" spans="1:8" x14ac:dyDescent="0.25">
      <c r="A792" t="s">
        <v>203</v>
      </c>
      <c r="B792">
        <v>69</v>
      </c>
      <c r="C792" t="s">
        <v>202</v>
      </c>
      <c r="D792">
        <v>1818</v>
      </c>
      <c r="E792" s="1">
        <v>4.8000000000000001E-2</v>
      </c>
      <c r="F792" s="1">
        <v>0.121</v>
      </c>
      <c r="H792" s="1">
        <v>0.83099999999999996</v>
      </c>
    </row>
    <row r="793" spans="1:8" x14ac:dyDescent="0.25">
      <c r="A793" t="s">
        <v>204</v>
      </c>
      <c r="B793">
        <v>1818</v>
      </c>
      <c r="C793" t="s">
        <v>204</v>
      </c>
      <c r="D793">
        <v>1818</v>
      </c>
      <c r="E793" s="1">
        <v>7.6300000000000007E-2</v>
      </c>
      <c r="F793" s="1">
        <v>0.16450000000000001</v>
      </c>
      <c r="G793" s="1">
        <v>2.9999999999999997E-4</v>
      </c>
      <c r="H793" s="1">
        <v>0.75890000000000002</v>
      </c>
    </row>
    <row r="795" spans="1:8" x14ac:dyDescent="0.25">
      <c r="A795" t="s">
        <v>345</v>
      </c>
    </row>
    <row r="796" spans="1:8" x14ac:dyDescent="0.25">
      <c r="A796" t="s">
        <v>190</v>
      </c>
      <c r="B796" t="s">
        <v>195</v>
      </c>
      <c r="C796" t="s">
        <v>189</v>
      </c>
      <c r="D796" t="s">
        <v>196</v>
      </c>
      <c r="E796" t="s">
        <v>220</v>
      </c>
      <c r="F796" t="s">
        <v>207</v>
      </c>
      <c r="G796" t="s">
        <v>215</v>
      </c>
      <c r="H796" t="s">
        <v>208</v>
      </c>
    </row>
    <row r="797" spans="1:8" x14ac:dyDescent="0.25">
      <c r="A797" t="s">
        <v>198</v>
      </c>
      <c r="B797">
        <v>82</v>
      </c>
      <c r="C797" t="s">
        <v>197</v>
      </c>
      <c r="D797">
        <v>2630</v>
      </c>
      <c r="F797" s="1">
        <v>0.36349999999999999</v>
      </c>
      <c r="H797" s="1">
        <v>0.63649999999999995</v>
      </c>
    </row>
    <row r="798" spans="1:8" x14ac:dyDescent="0.25">
      <c r="A798" t="s">
        <v>198</v>
      </c>
      <c r="B798">
        <v>367</v>
      </c>
      <c r="C798" t="s">
        <v>199</v>
      </c>
      <c r="D798">
        <v>2630</v>
      </c>
      <c r="E798" s="1">
        <v>5.8999999999999999E-3</v>
      </c>
      <c r="F798" s="1">
        <v>0.49</v>
      </c>
      <c r="H798" s="1">
        <v>0.50419999999999998</v>
      </c>
    </row>
    <row r="799" spans="1:8" x14ac:dyDescent="0.25">
      <c r="A799" t="s">
        <v>198</v>
      </c>
      <c r="B799">
        <v>386</v>
      </c>
      <c r="C799" t="s">
        <v>200</v>
      </c>
      <c r="D799">
        <v>2630</v>
      </c>
      <c r="E799" s="1">
        <v>1.84E-2</v>
      </c>
      <c r="F799" s="1">
        <v>0.3896</v>
      </c>
      <c r="G799" s="1">
        <v>8.0000000000000004E-4</v>
      </c>
      <c r="H799" s="1">
        <v>0.59109999999999996</v>
      </c>
    </row>
    <row r="800" spans="1:8" x14ac:dyDescent="0.25">
      <c r="A800" t="s">
        <v>198</v>
      </c>
      <c r="B800">
        <v>256</v>
      </c>
      <c r="C800" t="s">
        <v>201</v>
      </c>
      <c r="D800">
        <v>2630</v>
      </c>
      <c r="E800" s="1">
        <v>1.09E-2</v>
      </c>
      <c r="F800" s="1">
        <v>0.36699999999999999</v>
      </c>
      <c r="H800" s="1">
        <v>0.62219999999999998</v>
      </c>
    </row>
    <row r="801" spans="1:9" x14ac:dyDescent="0.25">
      <c r="A801" t="s">
        <v>198</v>
      </c>
      <c r="B801">
        <v>96</v>
      </c>
      <c r="C801" t="s">
        <v>202</v>
      </c>
      <c r="D801">
        <v>2630</v>
      </c>
      <c r="F801" s="1">
        <v>0.3095</v>
      </c>
      <c r="H801" s="1">
        <v>0.6905</v>
      </c>
    </row>
    <row r="802" spans="1:9" x14ac:dyDescent="0.25">
      <c r="A802" t="s">
        <v>203</v>
      </c>
      <c r="B802">
        <v>530</v>
      </c>
      <c r="C802" t="s">
        <v>199</v>
      </c>
      <c r="D802">
        <v>2630</v>
      </c>
      <c r="E802" s="1">
        <v>1.9E-3</v>
      </c>
      <c r="F802" s="1">
        <v>0.4995</v>
      </c>
      <c r="G802" s="1">
        <v>5.0000000000000001E-4</v>
      </c>
      <c r="H802" s="1">
        <v>0.49809999999999999</v>
      </c>
    </row>
    <row r="803" spans="1:9" x14ac:dyDescent="0.25">
      <c r="A803" t="s">
        <v>203</v>
      </c>
      <c r="B803">
        <v>503</v>
      </c>
      <c r="C803" t="s">
        <v>200</v>
      </c>
      <c r="D803">
        <v>2630</v>
      </c>
      <c r="E803" s="1">
        <v>5.1999999999999998E-3</v>
      </c>
      <c r="F803" s="1">
        <v>0.58899999999999997</v>
      </c>
      <c r="H803" s="1">
        <v>0.40579999999999999</v>
      </c>
    </row>
    <row r="804" spans="1:9" x14ac:dyDescent="0.25">
      <c r="A804" t="s">
        <v>203</v>
      </c>
      <c r="B804">
        <v>320</v>
      </c>
      <c r="C804" t="s">
        <v>201</v>
      </c>
      <c r="D804">
        <v>2630</v>
      </c>
      <c r="E804" s="1">
        <v>2.4400000000000002E-2</v>
      </c>
      <c r="F804" s="1">
        <v>0.53190000000000004</v>
      </c>
      <c r="G804" s="1">
        <v>1.1999999999999999E-3</v>
      </c>
      <c r="H804" s="1">
        <v>0.4425</v>
      </c>
    </row>
    <row r="805" spans="1:9" x14ac:dyDescent="0.25">
      <c r="A805" t="s">
        <v>203</v>
      </c>
      <c r="B805">
        <v>90</v>
      </c>
      <c r="C805" t="s">
        <v>202</v>
      </c>
      <c r="D805">
        <v>2630</v>
      </c>
      <c r="E805" s="1">
        <v>4.8800000000000003E-2</v>
      </c>
      <c r="F805" s="1">
        <v>0.54410000000000003</v>
      </c>
      <c r="G805" s="1">
        <v>4.8999999999999998E-3</v>
      </c>
      <c r="H805" s="1">
        <v>0.4022</v>
      </c>
    </row>
    <row r="806" spans="1:9" x14ac:dyDescent="0.25">
      <c r="A806" t="s">
        <v>204</v>
      </c>
      <c r="B806">
        <v>2630</v>
      </c>
      <c r="C806" t="s">
        <v>204</v>
      </c>
      <c r="D806">
        <v>2630</v>
      </c>
      <c r="E806" s="1">
        <v>9.1999999999999998E-3</v>
      </c>
      <c r="F806" s="1">
        <v>0.4829</v>
      </c>
      <c r="G806" s="1">
        <v>5.0000000000000001E-4</v>
      </c>
      <c r="H806" s="1">
        <v>0.50739999999999996</v>
      </c>
    </row>
    <row r="808" spans="1:9" x14ac:dyDescent="0.25">
      <c r="A808" t="s">
        <v>346</v>
      </c>
    </row>
    <row r="809" spans="1:9" x14ac:dyDescent="0.25">
      <c r="A809" t="s">
        <v>190</v>
      </c>
      <c r="B809" t="s">
        <v>206</v>
      </c>
      <c r="C809" t="s">
        <v>195</v>
      </c>
      <c r="D809" t="s">
        <v>189</v>
      </c>
      <c r="E809" t="s">
        <v>196</v>
      </c>
      <c r="F809" t="s">
        <v>220</v>
      </c>
      <c r="G809" t="s">
        <v>207</v>
      </c>
      <c r="H809" t="s">
        <v>215</v>
      </c>
      <c r="I809" t="s">
        <v>208</v>
      </c>
    </row>
    <row r="810" spans="1:9" x14ac:dyDescent="0.25">
      <c r="A810" t="s">
        <v>198</v>
      </c>
      <c r="B810" t="s">
        <v>228</v>
      </c>
      <c r="C810">
        <v>33</v>
      </c>
      <c r="D810" t="s">
        <v>197</v>
      </c>
      <c r="E810">
        <v>2630</v>
      </c>
      <c r="G810" s="1">
        <v>0.33069999999999999</v>
      </c>
      <c r="I810" s="1">
        <v>0.66930000000000001</v>
      </c>
    </row>
    <row r="811" spans="1:9" x14ac:dyDescent="0.25">
      <c r="A811" t="s">
        <v>198</v>
      </c>
      <c r="B811" t="s">
        <v>229</v>
      </c>
      <c r="C811">
        <v>49</v>
      </c>
      <c r="D811" t="s">
        <v>197</v>
      </c>
      <c r="E811">
        <v>2630</v>
      </c>
      <c r="G811" s="1">
        <v>0.38850000000000001</v>
      </c>
      <c r="I811" s="1">
        <v>0.61150000000000004</v>
      </c>
    </row>
    <row r="812" spans="1:9" x14ac:dyDescent="0.25">
      <c r="A812" t="s">
        <v>198</v>
      </c>
      <c r="B812" t="s">
        <v>228</v>
      </c>
      <c r="C812">
        <v>145</v>
      </c>
      <c r="D812" t="s">
        <v>199</v>
      </c>
      <c r="E812">
        <v>2630</v>
      </c>
      <c r="F812" s="1">
        <v>1.61E-2</v>
      </c>
      <c r="G812" s="1">
        <v>0.4405</v>
      </c>
      <c r="I812" s="1">
        <v>0.54339999999999999</v>
      </c>
    </row>
    <row r="813" spans="1:9" x14ac:dyDescent="0.25">
      <c r="A813" t="s">
        <v>198</v>
      </c>
      <c r="B813" t="s">
        <v>229</v>
      </c>
      <c r="C813">
        <v>212</v>
      </c>
      <c r="D813" t="s">
        <v>199</v>
      </c>
      <c r="E813">
        <v>2630</v>
      </c>
      <c r="F813" s="1">
        <v>2.3999999999999998E-3</v>
      </c>
      <c r="G813" s="1">
        <v>0.5121</v>
      </c>
      <c r="I813" s="1">
        <v>0.48559999999999998</v>
      </c>
    </row>
    <row r="814" spans="1:9" x14ac:dyDescent="0.25">
      <c r="A814" t="s">
        <v>198</v>
      </c>
      <c r="B814" t="s">
        <v>229</v>
      </c>
      <c r="C814">
        <v>270</v>
      </c>
      <c r="D814" t="s">
        <v>200</v>
      </c>
      <c r="E814">
        <v>2630</v>
      </c>
      <c r="F814" s="1">
        <v>2.4199999999999999E-2</v>
      </c>
      <c r="G814" s="1">
        <v>0.3674</v>
      </c>
      <c r="H814" s="1">
        <v>1.1000000000000001E-3</v>
      </c>
      <c r="I814" s="1">
        <v>0.60729999999999995</v>
      </c>
    </row>
    <row r="815" spans="1:9" x14ac:dyDescent="0.25">
      <c r="A815" t="s">
        <v>198</v>
      </c>
      <c r="B815" t="s">
        <v>228</v>
      </c>
      <c r="C815">
        <v>112</v>
      </c>
      <c r="D815" t="s">
        <v>200</v>
      </c>
      <c r="E815">
        <v>2630</v>
      </c>
      <c r="G815" s="1">
        <v>0.47410000000000002</v>
      </c>
      <c r="I815" s="1">
        <v>0.52590000000000003</v>
      </c>
    </row>
    <row r="816" spans="1:9" x14ac:dyDescent="0.25">
      <c r="A816" t="s">
        <v>198</v>
      </c>
      <c r="B816" t="s">
        <v>228</v>
      </c>
      <c r="C816">
        <v>95</v>
      </c>
      <c r="D816" t="s">
        <v>201</v>
      </c>
      <c r="E816">
        <v>2630</v>
      </c>
      <c r="F816" s="1">
        <v>8.8000000000000005E-3</v>
      </c>
      <c r="G816" s="1">
        <v>0.51319999999999999</v>
      </c>
      <c r="I816" s="1">
        <v>0.47799999999999998</v>
      </c>
    </row>
    <row r="817" spans="1:9" x14ac:dyDescent="0.25">
      <c r="A817" t="s">
        <v>198</v>
      </c>
      <c r="B817" t="s">
        <v>229</v>
      </c>
      <c r="C817">
        <v>155</v>
      </c>
      <c r="D817" t="s">
        <v>201</v>
      </c>
      <c r="E817">
        <v>2630</v>
      </c>
      <c r="F817" s="1">
        <v>1.1599999999999999E-2</v>
      </c>
      <c r="G817" s="1">
        <v>0.32440000000000002</v>
      </c>
      <c r="I817" s="1">
        <v>0.66400000000000003</v>
      </c>
    </row>
    <row r="818" spans="1:9" s="29" customFormat="1" x14ac:dyDescent="0.25">
      <c r="A818" s="29" t="s">
        <v>198</v>
      </c>
      <c r="B818" s="29" t="s">
        <v>228</v>
      </c>
      <c r="C818" s="29">
        <v>28</v>
      </c>
      <c r="D818" s="29" t="s">
        <v>202</v>
      </c>
      <c r="E818" s="29">
        <v>2630</v>
      </c>
      <c r="G818" s="30">
        <v>0.113</v>
      </c>
      <c r="I818" s="30">
        <v>0.88700000000000001</v>
      </c>
    </row>
    <row r="819" spans="1:9" x14ac:dyDescent="0.25">
      <c r="A819" t="s">
        <v>198</v>
      </c>
      <c r="B819" t="s">
        <v>229</v>
      </c>
      <c r="C819">
        <v>68</v>
      </c>
      <c r="D819" t="s">
        <v>202</v>
      </c>
      <c r="E819">
        <v>2630</v>
      </c>
      <c r="G819" s="1">
        <v>0.37040000000000001</v>
      </c>
      <c r="I819" s="1">
        <v>0.62960000000000005</v>
      </c>
    </row>
    <row r="820" spans="1:9" x14ac:dyDescent="0.25">
      <c r="A820" t="s">
        <v>203</v>
      </c>
      <c r="B820" t="s">
        <v>229</v>
      </c>
      <c r="C820">
        <v>370</v>
      </c>
      <c r="D820" t="s">
        <v>199</v>
      </c>
      <c r="E820">
        <v>2630</v>
      </c>
      <c r="F820" s="1">
        <v>1.5E-3</v>
      </c>
      <c r="G820" s="1">
        <v>0.51649999999999996</v>
      </c>
      <c r="H820" s="1">
        <v>5.9999999999999995E-4</v>
      </c>
      <c r="I820" s="1">
        <v>0.48149999999999998</v>
      </c>
    </row>
    <row r="821" spans="1:9" x14ac:dyDescent="0.25">
      <c r="A821" t="s">
        <v>203</v>
      </c>
      <c r="B821" t="s">
        <v>228</v>
      </c>
      <c r="C821">
        <v>150</v>
      </c>
      <c r="D821" t="s">
        <v>199</v>
      </c>
      <c r="E821">
        <v>2630</v>
      </c>
      <c r="F821" s="1">
        <v>5.8999999999999999E-3</v>
      </c>
      <c r="G821" s="1">
        <v>0.37169999999999997</v>
      </c>
      <c r="I821" s="1">
        <v>0.62239999999999995</v>
      </c>
    </row>
    <row r="822" spans="1:9" x14ac:dyDescent="0.25">
      <c r="A822" t="s">
        <v>203</v>
      </c>
      <c r="B822" t="s">
        <v>229</v>
      </c>
      <c r="C822">
        <v>347</v>
      </c>
      <c r="D822" t="s">
        <v>200</v>
      </c>
      <c r="E822">
        <v>2630</v>
      </c>
      <c r="F822" s="1">
        <v>4.3E-3</v>
      </c>
      <c r="G822" s="1">
        <v>0.58799999999999997</v>
      </c>
      <c r="I822" s="1">
        <v>0.40770000000000001</v>
      </c>
    </row>
    <row r="823" spans="1:9" x14ac:dyDescent="0.25">
      <c r="A823" t="s">
        <v>203</v>
      </c>
      <c r="B823" t="s">
        <v>228</v>
      </c>
      <c r="C823">
        <v>155</v>
      </c>
      <c r="D823" t="s">
        <v>200</v>
      </c>
      <c r="E823">
        <v>2630</v>
      </c>
      <c r="F823" s="1">
        <v>9.1000000000000004E-3</v>
      </c>
      <c r="G823" s="1">
        <v>0.59319999999999995</v>
      </c>
      <c r="I823" s="1">
        <v>0.3977</v>
      </c>
    </row>
    <row r="824" spans="1:9" x14ac:dyDescent="0.25">
      <c r="A824" t="s">
        <v>203</v>
      </c>
      <c r="B824" t="s">
        <v>229</v>
      </c>
      <c r="C824">
        <v>136</v>
      </c>
      <c r="D824" t="s">
        <v>201</v>
      </c>
      <c r="E824">
        <v>2630</v>
      </c>
      <c r="F824" s="1">
        <v>3.0700000000000002E-2</v>
      </c>
      <c r="G824" s="1">
        <v>0.57389999999999997</v>
      </c>
      <c r="H824" s="1">
        <v>1.5E-3</v>
      </c>
      <c r="I824" s="1">
        <v>0.39389999999999997</v>
      </c>
    </row>
    <row r="825" spans="1:9" x14ac:dyDescent="0.25">
      <c r="A825" t="s">
        <v>203</v>
      </c>
      <c r="B825" t="s">
        <v>228</v>
      </c>
      <c r="C825">
        <v>177</v>
      </c>
      <c r="D825" t="s">
        <v>201</v>
      </c>
      <c r="E825">
        <v>2630</v>
      </c>
      <c r="F825" s="1">
        <v>4.8999999999999998E-3</v>
      </c>
      <c r="G825" s="1">
        <v>0.40479999999999999</v>
      </c>
      <c r="I825" s="1">
        <v>0.59030000000000005</v>
      </c>
    </row>
    <row r="826" spans="1:9" x14ac:dyDescent="0.25">
      <c r="A826" t="s">
        <v>203</v>
      </c>
      <c r="B826" t="s">
        <v>228</v>
      </c>
      <c r="C826">
        <v>34</v>
      </c>
      <c r="D826" t="s">
        <v>202</v>
      </c>
      <c r="E826">
        <v>2630</v>
      </c>
      <c r="F826" s="1">
        <v>6.5299999999999997E-2</v>
      </c>
      <c r="G826" s="1">
        <v>0.39729999999999999</v>
      </c>
      <c r="I826" s="1">
        <v>0.53739999999999999</v>
      </c>
    </row>
    <row r="827" spans="1:9" x14ac:dyDescent="0.25">
      <c r="A827" t="s">
        <v>203</v>
      </c>
      <c r="B827" t="s">
        <v>229</v>
      </c>
      <c r="C827">
        <v>56</v>
      </c>
      <c r="D827" t="s">
        <v>202</v>
      </c>
      <c r="E827">
        <v>2630</v>
      </c>
      <c r="F827" s="1">
        <v>4.2299999999999997E-2</v>
      </c>
      <c r="G827" s="1">
        <v>0.60189999999999999</v>
      </c>
      <c r="H827" s="1">
        <v>6.8999999999999999E-3</v>
      </c>
      <c r="I827" s="1">
        <v>0.34889999999999999</v>
      </c>
    </row>
    <row r="828" spans="1:9" x14ac:dyDescent="0.25">
      <c r="A828" t="s">
        <v>204</v>
      </c>
      <c r="B828" t="s">
        <v>204</v>
      </c>
      <c r="C828">
        <v>2630</v>
      </c>
      <c r="D828" t="s">
        <v>204</v>
      </c>
      <c r="E828">
        <v>2630</v>
      </c>
      <c r="F828" s="1">
        <v>9.1999999999999998E-3</v>
      </c>
      <c r="G828" s="1">
        <v>0.4829</v>
      </c>
      <c r="H828" s="1">
        <v>5.0000000000000001E-4</v>
      </c>
      <c r="I828" s="1">
        <v>0.50739999999999996</v>
      </c>
    </row>
    <row r="830" spans="1:9" x14ac:dyDescent="0.25">
      <c r="A830" t="s">
        <v>347</v>
      </c>
    </row>
    <row r="831" spans="1:9" x14ac:dyDescent="0.25">
      <c r="A831" t="s">
        <v>190</v>
      </c>
      <c r="B831" t="s">
        <v>206</v>
      </c>
      <c r="C831" t="s">
        <v>195</v>
      </c>
      <c r="D831" t="s">
        <v>189</v>
      </c>
      <c r="E831" t="s">
        <v>196</v>
      </c>
      <c r="F831" t="s">
        <v>220</v>
      </c>
      <c r="G831" t="s">
        <v>207</v>
      </c>
      <c r="H831" t="s">
        <v>215</v>
      </c>
      <c r="I831" t="s">
        <v>208</v>
      </c>
    </row>
    <row r="832" spans="1:9" x14ac:dyDescent="0.25">
      <c r="A832" t="s">
        <v>198</v>
      </c>
      <c r="B832" t="s">
        <v>348</v>
      </c>
      <c r="C832">
        <v>79</v>
      </c>
      <c r="D832" t="s">
        <v>197</v>
      </c>
      <c r="E832">
        <v>2630</v>
      </c>
      <c r="G832" s="1">
        <v>0.36449999999999999</v>
      </c>
      <c r="I832" s="1">
        <v>0.63549999999999995</v>
      </c>
    </row>
    <row r="833" spans="1:9" s="29" customFormat="1" x14ac:dyDescent="0.25">
      <c r="A833" s="29" t="s">
        <v>198</v>
      </c>
      <c r="B833" s="29" t="s">
        <v>349</v>
      </c>
      <c r="C833" s="29">
        <v>3</v>
      </c>
      <c r="D833" s="29" t="s">
        <v>197</v>
      </c>
      <c r="E833" s="29">
        <v>2630</v>
      </c>
      <c r="G833" s="30">
        <v>0.33329999999999999</v>
      </c>
      <c r="I833" s="30">
        <v>0.66669999999999996</v>
      </c>
    </row>
    <row r="834" spans="1:9" x14ac:dyDescent="0.25">
      <c r="A834" t="s">
        <v>198</v>
      </c>
      <c r="B834" t="s">
        <v>348</v>
      </c>
      <c r="C834">
        <v>54</v>
      </c>
      <c r="D834" t="s">
        <v>199</v>
      </c>
      <c r="E834">
        <v>2630</v>
      </c>
      <c r="G834" s="1">
        <v>0.32219999999999999</v>
      </c>
      <c r="I834" s="1">
        <v>0.67779999999999996</v>
      </c>
    </row>
    <row r="835" spans="1:9" x14ac:dyDescent="0.25">
      <c r="A835" t="s">
        <v>198</v>
      </c>
      <c r="B835" t="s">
        <v>349</v>
      </c>
      <c r="C835">
        <v>111</v>
      </c>
      <c r="D835" t="s">
        <v>199</v>
      </c>
      <c r="E835">
        <v>2630</v>
      </c>
      <c r="F835" s="1">
        <v>3.8999999999999998E-3</v>
      </c>
      <c r="G835" s="1">
        <v>0.70140000000000002</v>
      </c>
      <c r="I835" s="1">
        <v>0.29480000000000001</v>
      </c>
    </row>
    <row r="836" spans="1:9" x14ac:dyDescent="0.25">
      <c r="A836" t="s">
        <v>198</v>
      </c>
      <c r="B836" t="s">
        <v>350</v>
      </c>
      <c r="C836">
        <v>192</v>
      </c>
      <c r="D836" t="s">
        <v>199</v>
      </c>
      <c r="E836">
        <v>2630</v>
      </c>
      <c r="F836" s="1">
        <v>1.0200000000000001E-2</v>
      </c>
      <c r="G836" s="1">
        <v>0.32100000000000001</v>
      </c>
      <c r="I836" s="1">
        <v>0.66879999999999995</v>
      </c>
    </row>
    <row r="837" spans="1:9" x14ac:dyDescent="0.25">
      <c r="A837" t="s">
        <v>198</v>
      </c>
      <c r="B837" t="s">
        <v>350</v>
      </c>
      <c r="C837">
        <v>78</v>
      </c>
      <c r="D837" t="s">
        <v>200</v>
      </c>
      <c r="E837">
        <v>2630</v>
      </c>
      <c r="F837" s="1">
        <v>1.4E-3</v>
      </c>
      <c r="G837" s="1">
        <v>0.27810000000000001</v>
      </c>
      <c r="I837" s="1">
        <v>0.72050000000000003</v>
      </c>
    </row>
    <row r="838" spans="1:9" x14ac:dyDescent="0.25">
      <c r="A838" t="s">
        <v>198</v>
      </c>
      <c r="B838" t="s">
        <v>348</v>
      </c>
      <c r="C838">
        <v>242</v>
      </c>
      <c r="D838" t="s">
        <v>200</v>
      </c>
      <c r="E838">
        <v>2630</v>
      </c>
      <c r="F838" s="1">
        <v>2.12E-2</v>
      </c>
      <c r="G838" s="1">
        <v>0.39779999999999999</v>
      </c>
      <c r="I838" s="1">
        <v>0.58099999999999996</v>
      </c>
    </row>
    <row r="839" spans="1:9" x14ac:dyDescent="0.25">
      <c r="A839" t="s">
        <v>198</v>
      </c>
      <c r="B839" t="s">
        <v>349</v>
      </c>
      <c r="C839">
        <v>62</v>
      </c>
      <c r="D839" t="s">
        <v>200</v>
      </c>
      <c r="E839">
        <v>2630</v>
      </c>
      <c r="G839" s="1">
        <v>0.44979999999999998</v>
      </c>
      <c r="H839" s="1">
        <v>1.38E-2</v>
      </c>
      <c r="I839" s="1">
        <v>0.5363</v>
      </c>
    </row>
    <row r="840" spans="1:9" x14ac:dyDescent="0.25">
      <c r="A840" t="s">
        <v>198</v>
      </c>
      <c r="B840" t="s">
        <v>349</v>
      </c>
      <c r="C840">
        <v>125</v>
      </c>
      <c r="D840" t="s">
        <v>201</v>
      </c>
      <c r="E840">
        <v>2630</v>
      </c>
      <c r="F840" s="1">
        <v>8.9999999999999998E-4</v>
      </c>
      <c r="G840" s="1">
        <v>0.35110000000000002</v>
      </c>
      <c r="I840" s="1">
        <v>0.64800000000000002</v>
      </c>
    </row>
    <row r="841" spans="1:9" x14ac:dyDescent="0.25">
      <c r="A841" t="s">
        <v>198</v>
      </c>
      <c r="B841" t="s">
        <v>350</v>
      </c>
      <c r="C841">
        <v>63</v>
      </c>
      <c r="D841" t="s">
        <v>201</v>
      </c>
      <c r="E841">
        <v>2630</v>
      </c>
      <c r="G841" s="1">
        <v>0.13139999999999999</v>
      </c>
      <c r="I841" s="1">
        <v>0.86860000000000004</v>
      </c>
    </row>
    <row r="842" spans="1:9" x14ac:dyDescent="0.25">
      <c r="A842" t="s">
        <v>198</v>
      </c>
      <c r="B842" t="s">
        <v>348</v>
      </c>
      <c r="C842">
        <v>62</v>
      </c>
      <c r="D842" t="s">
        <v>201</v>
      </c>
      <c r="E842">
        <v>2630</v>
      </c>
      <c r="F842" s="1">
        <v>3.9699999999999999E-2</v>
      </c>
      <c r="G842" s="1">
        <v>0.44340000000000002</v>
      </c>
      <c r="I842" s="1">
        <v>0.51700000000000002</v>
      </c>
    </row>
    <row r="843" spans="1:9" x14ac:dyDescent="0.25">
      <c r="A843" t="s">
        <v>198</v>
      </c>
      <c r="B843" t="s">
        <v>348</v>
      </c>
      <c r="C843">
        <v>96</v>
      </c>
      <c r="D843" t="s">
        <v>202</v>
      </c>
      <c r="E843">
        <v>2630</v>
      </c>
      <c r="G843" s="1">
        <v>0.3095</v>
      </c>
      <c r="I843" s="1">
        <v>0.6905</v>
      </c>
    </row>
    <row r="844" spans="1:9" x14ac:dyDescent="0.25">
      <c r="A844" t="s">
        <v>203</v>
      </c>
      <c r="B844" t="s">
        <v>349</v>
      </c>
      <c r="C844">
        <v>171</v>
      </c>
      <c r="D844" t="s">
        <v>199</v>
      </c>
      <c r="E844">
        <v>2630</v>
      </c>
      <c r="F844" s="1">
        <v>4.0000000000000001E-3</v>
      </c>
      <c r="G844" s="1">
        <v>0.65339999999999998</v>
      </c>
      <c r="H844" s="1">
        <v>1.6000000000000001E-3</v>
      </c>
      <c r="I844" s="1">
        <v>0.34100000000000003</v>
      </c>
    </row>
    <row r="845" spans="1:9" x14ac:dyDescent="0.25">
      <c r="A845" t="s">
        <v>203</v>
      </c>
      <c r="B845" t="s">
        <v>348</v>
      </c>
      <c r="C845">
        <v>42</v>
      </c>
      <c r="D845" t="s">
        <v>199</v>
      </c>
      <c r="E845">
        <v>2630</v>
      </c>
      <c r="G845" s="1">
        <v>0.59550000000000003</v>
      </c>
      <c r="I845" s="1">
        <v>0.40450000000000003</v>
      </c>
    </row>
    <row r="846" spans="1:9" x14ac:dyDescent="0.25">
      <c r="A846" t="s">
        <v>203</v>
      </c>
      <c r="B846" t="s">
        <v>350</v>
      </c>
      <c r="C846">
        <v>307</v>
      </c>
      <c r="D846" t="s">
        <v>199</v>
      </c>
      <c r="E846">
        <v>2630</v>
      </c>
      <c r="F846" s="1">
        <v>1E-3</v>
      </c>
      <c r="G846" s="1">
        <v>0.41699999999999998</v>
      </c>
      <c r="I846" s="1">
        <v>0.58199999999999996</v>
      </c>
    </row>
    <row r="847" spans="1:9" x14ac:dyDescent="0.25">
      <c r="A847" t="s">
        <v>203</v>
      </c>
      <c r="B847" t="s">
        <v>348</v>
      </c>
      <c r="C847">
        <v>300</v>
      </c>
      <c r="D847" t="s">
        <v>200</v>
      </c>
      <c r="E847">
        <v>2630</v>
      </c>
      <c r="F847" s="1">
        <v>2E-3</v>
      </c>
      <c r="G847" s="1">
        <v>0.60850000000000004</v>
      </c>
      <c r="I847" s="1">
        <v>0.38950000000000001</v>
      </c>
    </row>
    <row r="848" spans="1:9" x14ac:dyDescent="0.25">
      <c r="A848" t="s">
        <v>203</v>
      </c>
      <c r="B848" t="s">
        <v>349</v>
      </c>
      <c r="C848">
        <v>108</v>
      </c>
      <c r="D848" t="s">
        <v>200</v>
      </c>
      <c r="E848">
        <v>2630</v>
      </c>
      <c r="F848" s="1">
        <v>3.0599999999999999E-2</v>
      </c>
      <c r="G848" s="1">
        <v>0.52410000000000001</v>
      </c>
      <c r="I848" s="1">
        <v>0.44540000000000002</v>
      </c>
    </row>
    <row r="849" spans="1:9" x14ac:dyDescent="0.25">
      <c r="A849" t="s">
        <v>203</v>
      </c>
      <c r="B849" t="s">
        <v>350</v>
      </c>
      <c r="C849">
        <v>94</v>
      </c>
      <c r="D849" t="s">
        <v>200</v>
      </c>
      <c r="E849">
        <v>2630</v>
      </c>
      <c r="F849" s="1">
        <v>3.09E-2</v>
      </c>
      <c r="G849" s="1">
        <v>0.22789999999999999</v>
      </c>
      <c r="I849" s="1">
        <v>0.74119999999999997</v>
      </c>
    </row>
    <row r="850" spans="1:9" x14ac:dyDescent="0.25">
      <c r="A850" t="s">
        <v>203</v>
      </c>
      <c r="B850" t="s">
        <v>348</v>
      </c>
      <c r="C850">
        <v>62</v>
      </c>
      <c r="D850" t="s">
        <v>201</v>
      </c>
      <c r="E850">
        <v>2630</v>
      </c>
      <c r="F850" s="1">
        <v>6.4999999999999997E-3</v>
      </c>
      <c r="G850" s="1">
        <v>0.4284</v>
      </c>
      <c r="I850" s="1">
        <v>0.56520000000000004</v>
      </c>
    </row>
    <row r="851" spans="1:9" x14ac:dyDescent="0.25">
      <c r="A851" t="s">
        <v>203</v>
      </c>
      <c r="B851" t="s">
        <v>349</v>
      </c>
      <c r="C851">
        <v>146</v>
      </c>
      <c r="D851" t="s">
        <v>201</v>
      </c>
      <c r="E851">
        <v>2630</v>
      </c>
      <c r="F851" s="1">
        <v>2.7699999999999999E-2</v>
      </c>
      <c r="G851" s="1">
        <v>0.56989999999999996</v>
      </c>
      <c r="I851" s="1">
        <v>0.40250000000000002</v>
      </c>
    </row>
    <row r="852" spans="1:9" x14ac:dyDescent="0.25">
      <c r="A852" t="s">
        <v>203</v>
      </c>
      <c r="B852" t="s">
        <v>350</v>
      </c>
      <c r="C852">
        <v>105</v>
      </c>
      <c r="D852" t="s">
        <v>201</v>
      </c>
      <c r="E852">
        <v>2630</v>
      </c>
      <c r="F852" s="1">
        <v>1.6199999999999999E-2</v>
      </c>
      <c r="G852" s="1">
        <v>0.27860000000000001</v>
      </c>
      <c r="H852" s="1">
        <v>1.6199999999999999E-2</v>
      </c>
      <c r="I852" s="1">
        <v>0.68899999999999995</v>
      </c>
    </row>
    <row r="853" spans="1:9" x14ac:dyDescent="0.25">
      <c r="A853" t="s">
        <v>203</v>
      </c>
      <c r="B853" t="s">
        <v>348</v>
      </c>
      <c r="C853">
        <v>90</v>
      </c>
      <c r="D853" t="s">
        <v>202</v>
      </c>
      <c r="E853">
        <v>2630</v>
      </c>
      <c r="F853" s="1">
        <v>4.8800000000000003E-2</v>
      </c>
      <c r="G853" s="1">
        <v>0.54410000000000003</v>
      </c>
      <c r="H853" s="1">
        <v>4.8999999999999998E-3</v>
      </c>
      <c r="I853" s="1">
        <v>0.4022</v>
      </c>
    </row>
    <row r="854" spans="1:9" x14ac:dyDescent="0.25">
      <c r="A854" t="s">
        <v>204</v>
      </c>
      <c r="B854" t="s">
        <v>204</v>
      </c>
      <c r="C854">
        <v>2630</v>
      </c>
      <c r="D854" t="s">
        <v>204</v>
      </c>
      <c r="E854">
        <v>2630</v>
      </c>
      <c r="F854" s="1">
        <v>9.1999999999999998E-3</v>
      </c>
      <c r="G854" s="1">
        <v>0.4829</v>
      </c>
      <c r="H854" s="1">
        <v>5.0000000000000001E-4</v>
      </c>
      <c r="I854" s="1">
        <v>0.50739999999999996</v>
      </c>
    </row>
    <row r="856" spans="1:9" x14ac:dyDescent="0.25">
      <c r="A856" t="s">
        <v>351</v>
      </c>
    </row>
    <row r="857" spans="1:9" x14ac:dyDescent="0.25">
      <c r="A857" t="s">
        <v>190</v>
      </c>
      <c r="B857" t="s">
        <v>195</v>
      </c>
      <c r="C857" t="s">
        <v>189</v>
      </c>
      <c r="D857" t="s">
        <v>196</v>
      </c>
      <c r="E857" t="s">
        <v>220</v>
      </c>
      <c r="F857" t="s">
        <v>207</v>
      </c>
      <c r="G857" t="s">
        <v>215</v>
      </c>
      <c r="H857" t="s">
        <v>208</v>
      </c>
    </row>
    <row r="858" spans="1:9" x14ac:dyDescent="0.25">
      <c r="A858" t="s">
        <v>198</v>
      </c>
      <c r="B858">
        <v>82</v>
      </c>
      <c r="C858" t="s">
        <v>197</v>
      </c>
      <c r="D858">
        <v>2630</v>
      </c>
      <c r="E858" s="1">
        <v>2.8299999999999999E-2</v>
      </c>
      <c r="F858" s="1">
        <v>0.37890000000000001</v>
      </c>
      <c r="H858" s="1">
        <v>0.59279999999999999</v>
      </c>
    </row>
    <row r="859" spans="1:9" x14ac:dyDescent="0.25">
      <c r="A859" t="s">
        <v>198</v>
      </c>
      <c r="B859">
        <v>366</v>
      </c>
      <c r="C859" t="s">
        <v>199</v>
      </c>
      <c r="D859">
        <v>2630</v>
      </c>
      <c r="E859" s="1">
        <v>3.0000000000000001E-3</v>
      </c>
      <c r="F859" s="1">
        <v>0.4869</v>
      </c>
      <c r="H859" s="1">
        <v>0.5101</v>
      </c>
    </row>
    <row r="860" spans="1:9" x14ac:dyDescent="0.25">
      <c r="A860" t="s">
        <v>198</v>
      </c>
      <c r="B860">
        <v>387</v>
      </c>
      <c r="C860" t="s">
        <v>200</v>
      </c>
      <c r="D860">
        <v>2630</v>
      </c>
      <c r="E860" s="1">
        <v>1.4E-2</v>
      </c>
      <c r="F860" s="1">
        <v>0.37590000000000001</v>
      </c>
      <c r="G860" s="1">
        <v>1.6999999999999999E-3</v>
      </c>
      <c r="H860" s="1">
        <v>0.60829999999999995</v>
      </c>
    </row>
    <row r="861" spans="1:9" x14ac:dyDescent="0.25">
      <c r="A861" t="s">
        <v>198</v>
      </c>
      <c r="B861">
        <v>256</v>
      </c>
      <c r="C861" t="s">
        <v>201</v>
      </c>
      <c r="D861">
        <v>2630</v>
      </c>
      <c r="E861" s="1">
        <v>1.0200000000000001E-2</v>
      </c>
      <c r="F861" s="1">
        <v>0.39479999999999998</v>
      </c>
      <c r="H861" s="1">
        <v>0.59499999999999997</v>
      </c>
    </row>
    <row r="862" spans="1:9" x14ac:dyDescent="0.25">
      <c r="A862" t="s">
        <v>198</v>
      </c>
      <c r="B862">
        <v>96</v>
      </c>
      <c r="C862" t="s">
        <v>202</v>
      </c>
      <c r="D862">
        <v>2630</v>
      </c>
      <c r="F862" s="1">
        <v>0.45140000000000002</v>
      </c>
      <c r="H862" s="1">
        <v>0.54859999999999998</v>
      </c>
    </row>
    <row r="863" spans="1:9" x14ac:dyDescent="0.25">
      <c r="A863" t="s">
        <v>203</v>
      </c>
      <c r="B863">
        <v>530</v>
      </c>
      <c r="C863" t="s">
        <v>199</v>
      </c>
      <c r="D863">
        <v>2630</v>
      </c>
      <c r="E863" s="1">
        <v>1.2999999999999999E-3</v>
      </c>
      <c r="F863" s="1">
        <v>0.53149999999999997</v>
      </c>
      <c r="G863" s="1">
        <v>1.1000000000000001E-3</v>
      </c>
      <c r="H863" s="1">
        <v>0.46610000000000001</v>
      </c>
    </row>
    <row r="864" spans="1:9" x14ac:dyDescent="0.25">
      <c r="A864" t="s">
        <v>203</v>
      </c>
      <c r="B864">
        <v>503</v>
      </c>
      <c r="C864" t="s">
        <v>200</v>
      </c>
      <c r="D864">
        <v>2630</v>
      </c>
      <c r="E864" s="1">
        <v>1.2E-2</v>
      </c>
      <c r="F864" s="1">
        <v>0.63729999999999998</v>
      </c>
      <c r="H864" s="1">
        <v>0.35070000000000001</v>
      </c>
    </row>
    <row r="865" spans="1:9" x14ac:dyDescent="0.25">
      <c r="A865" t="s">
        <v>203</v>
      </c>
      <c r="B865">
        <v>320</v>
      </c>
      <c r="C865" t="s">
        <v>201</v>
      </c>
      <c r="D865">
        <v>2630</v>
      </c>
      <c r="E865" s="1">
        <v>1.0800000000000001E-2</v>
      </c>
      <c r="F865" s="1">
        <v>0.67159999999999997</v>
      </c>
      <c r="H865" s="1">
        <v>0.31759999999999999</v>
      </c>
    </row>
    <row r="866" spans="1:9" x14ac:dyDescent="0.25">
      <c r="A866" t="s">
        <v>203</v>
      </c>
      <c r="B866">
        <v>90</v>
      </c>
      <c r="C866" t="s">
        <v>202</v>
      </c>
      <c r="D866">
        <v>2630</v>
      </c>
      <c r="F866" s="1">
        <v>0.54930000000000001</v>
      </c>
      <c r="H866" s="1">
        <v>0.45069999999999999</v>
      </c>
    </row>
    <row r="867" spans="1:9" x14ac:dyDescent="0.25">
      <c r="A867" t="s">
        <v>204</v>
      </c>
      <c r="B867">
        <v>2630</v>
      </c>
      <c r="C867" t="s">
        <v>204</v>
      </c>
      <c r="D867">
        <v>2630</v>
      </c>
      <c r="E867" s="1">
        <v>8.8999999999999999E-3</v>
      </c>
      <c r="F867" s="1">
        <v>0.52339999999999998</v>
      </c>
      <c r="G867" s="1">
        <v>4.0000000000000002E-4</v>
      </c>
      <c r="H867" s="1">
        <v>0.46739999999999998</v>
      </c>
    </row>
    <row r="869" spans="1:9" x14ac:dyDescent="0.25">
      <c r="A869" t="s">
        <v>352</v>
      </c>
    </row>
    <row r="870" spans="1:9" x14ac:dyDescent="0.25">
      <c r="A870" t="s">
        <v>190</v>
      </c>
      <c r="B870" t="s">
        <v>206</v>
      </c>
      <c r="C870" t="s">
        <v>195</v>
      </c>
      <c r="D870" t="s">
        <v>189</v>
      </c>
      <c r="E870" t="s">
        <v>196</v>
      </c>
      <c r="F870" t="s">
        <v>220</v>
      </c>
      <c r="G870" t="s">
        <v>207</v>
      </c>
      <c r="H870" t="s">
        <v>215</v>
      </c>
      <c r="I870" t="s">
        <v>208</v>
      </c>
    </row>
    <row r="871" spans="1:9" x14ac:dyDescent="0.25">
      <c r="A871" t="s">
        <v>198</v>
      </c>
      <c r="B871" t="s">
        <v>228</v>
      </c>
      <c r="C871">
        <v>33</v>
      </c>
      <c r="D871" t="s">
        <v>197</v>
      </c>
      <c r="E871">
        <v>2630</v>
      </c>
      <c r="F871" s="1">
        <v>4.82E-2</v>
      </c>
      <c r="G871" s="1">
        <v>0.31719999999999998</v>
      </c>
      <c r="I871" s="1">
        <v>0.63460000000000005</v>
      </c>
    </row>
    <row r="872" spans="1:9" x14ac:dyDescent="0.25">
      <c r="A872" t="s">
        <v>198</v>
      </c>
      <c r="B872" t="s">
        <v>229</v>
      </c>
      <c r="C872">
        <v>49</v>
      </c>
      <c r="D872" t="s">
        <v>197</v>
      </c>
      <c r="E872">
        <v>2630</v>
      </c>
      <c r="F872" s="1">
        <v>1.32E-2</v>
      </c>
      <c r="G872" s="1">
        <v>0.42580000000000001</v>
      </c>
      <c r="I872" s="1">
        <v>0.56100000000000005</v>
      </c>
    </row>
    <row r="873" spans="1:9" x14ac:dyDescent="0.25">
      <c r="A873" t="s">
        <v>198</v>
      </c>
      <c r="B873" t="s">
        <v>228</v>
      </c>
      <c r="C873">
        <v>145</v>
      </c>
      <c r="D873" t="s">
        <v>199</v>
      </c>
      <c r="E873">
        <v>2630</v>
      </c>
      <c r="F873" s="1">
        <v>1.15E-2</v>
      </c>
      <c r="G873" s="1">
        <v>0.46899999999999997</v>
      </c>
      <c r="I873" s="1">
        <v>0.51939999999999997</v>
      </c>
    </row>
    <row r="874" spans="1:9" x14ac:dyDescent="0.25">
      <c r="A874" t="s">
        <v>198</v>
      </c>
      <c r="B874" t="s">
        <v>229</v>
      </c>
      <c r="C874">
        <v>211</v>
      </c>
      <c r="D874" t="s">
        <v>199</v>
      </c>
      <c r="E874">
        <v>2630</v>
      </c>
      <c r="G874" s="1">
        <v>0.49419999999999997</v>
      </c>
      <c r="I874" s="1">
        <v>0.50580000000000003</v>
      </c>
    </row>
    <row r="875" spans="1:9" x14ac:dyDescent="0.25">
      <c r="A875" t="s">
        <v>198</v>
      </c>
      <c r="B875" t="s">
        <v>229</v>
      </c>
      <c r="C875">
        <v>270</v>
      </c>
      <c r="D875" t="s">
        <v>200</v>
      </c>
      <c r="E875">
        <v>2630</v>
      </c>
      <c r="F875" s="1">
        <v>1.8499999999999999E-2</v>
      </c>
      <c r="G875" s="1">
        <v>0.36670000000000003</v>
      </c>
      <c r="H875" s="1">
        <v>2.3E-3</v>
      </c>
      <c r="I875" s="1">
        <v>0.61260000000000003</v>
      </c>
    </row>
    <row r="876" spans="1:9" x14ac:dyDescent="0.25">
      <c r="A876" t="s">
        <v>198</v>
      </c>
      <c r="B876" t="s">
        <v>228</v>
      </c>
      <c r="C876">
        <v>112</v>
      </c>
      <c r="D876" t="s">
        <v>200</v>
      </c>
      <c r="E876">
        <v>2630</v>
      </c>
      <c r="G876" s="1">
        <v>0.41689999999999999</v>
      </c>
      <c r="I876" s="1">
        <v>0.58309999999999995</v>
      </c>
    </row>
    <row r="877" spans="1:9" x14ac:dyDescent="0.25">
      <c r="A877" t="s">
        <v>198</v>
      </c>
      <c r="B877" t="s">
        <v>228</v>
      </c>
      <c r="C877">
        <v>95</v>
      </c>
      <c r="D877" t="s">
        <v>201</v>
      </c>
      <c r="E877">
        <v>2630</v>
      </c>
      <c r="F877" s="1">
        <v>1.8100000000000002E-2</v>
      </c>
      <c r="G877" s="1">
        <v>0.3992</v>
      </c>
      <c r="I877" s="1">
        <v>0.5827</v>
      </c>
    </row>
    <row r="878" spans="1:9" x14ac:dyDescent="0.25">
      <c r="A878" t="s">
        <v>198</v>
      </c>
      <c r="B878" t="s">
        <v>229</v>
      </c>
      <c r="C878">
        <v>155</v>
      </c>
      <c r="D878" t="s">
        <v>201</v>
      </c>
      <c r="E878">
        <v>2630</v>
      </c>
      <c r="F878" s="1">
        <v>8.2000000000000007E-3</v>
      </c>
      <c r="G878" s="1">
        <v>0.39240000000000003</v>
      </c>
      <c r="I878" s="1">
        <v>0.59940000000000004</v>
      </c>
    </row>
    <row r="879" spans="1:9" s="29" customFormat="1" x14ac:dyDescent="0.25">
      <c r="A879" s="29" t="s">
        <v>198</v>
      </c>
      <c r="B879" s="29" t="s">
        <v>228</v>
      </c>
      <c r="C879" s="29">
        <v>28</v>
      </c>
      <c r="D879" s="29" t="s">
        <v>202</v>
      </c>
      <c r="E879" s="29">
        <v>2630</v>
      </c>
      <c r="G879" s="30">
        <v>0.39429999999999998</v>
      </c>
      <c r="I879" s="30">
        <v>0.60570000000000002</v>
      </c>
    </row>
    <row r="880" spans="1:9" x14ac:dyDescent="0.25">
      <c r="A880" t="s">
        <v>198</v>
      </c>
      <c r="B880" t="s">
        <v>229</v>
      </c>
      <c r="C880">
        <v>68</v>
      </c>
      <c r="D880" t="s">
        <v>202</v>
      </c>
      <c r="E880">
        <v>2630</v>
      </c>
      <c r="G880" s="1">
        <v>0.46910000000000002</v>
      </c>
      <c r="I880" s="1">
        <v>0.53090000000000004</v>
      </c>
    </row>
    <row r="881" spans="1:9" x14ac:dyDescent="0.25">
      <c r="A881" t="s">
        <v>203</v>
      </c>
      <c r="B881" t="s">
        <v>229</v>
      </c>
      <c r="C881">
        <v>370</v>
      </c>
      <c r="D881" t="s">
        <v>199</v>
      </c>
      <c r="E881">
        <v>2630</v>
      </c>
      <c r="F881" s="1">
        <v>5.9999999999999995E-4</v>
      </c>
      <c r="G881" s="1">
        <v>0.55859999999999999</v>
      </c>
      <c r="H881" s="1">
        <v>6.9999999999999999E-4</v>
      </c>
      <c r="I881" s="1">
        <v>0.44009999999999999</v>
      </c>
    </row>
    <row r="882" spans="1:9" x14ac:dyDescent="0.25">
      <c r="A882" t="s">
        <v>203</v>
      </c>
      <c r="B882" t="s">
        <v>228</v>
      </c>
      <c r="C882">
        <v>150</v>
      </c>
      <c r="D882" t="s">
        <v>199</v>
      </c>
      <c r="E882">
        <v>2630</v>
      </c>
      <c r="F882" s="1">
        <v>6.7999999999999996E-3</v>
      </c>
      <c r="G882" s="1">
        <v>0.31929999999999997</v>
      </c>
      <c r="I882" s="1">
        <v>0.67390000000000005</v>
      </c>
    </row>
    <row r="883" spans="1:9" x14ac:dyDescent="0.25">
      <c r="A883" t="s">
        <v>203</v>
      </c>
      <c r="B883" t="s">
        <v>229</v>
      </c>
      <c r="C883">
        <v>347</v>
      </c>
      <c r="D883" t="s">
        <v>200</v>
      </c>
      <c r="E883">
        <v>2630</v>
      </c>
      <c r="F883" s="1">
        <v>1.49E-2</v>
      </c>
      <c r="G883" s="1">
        <v>0.622</v>
      </c>
      <c r="I883" s="1">
        <v>0.36309999999999998</v>
      </c>
    </row>
    <row r="884" spans="1:9" x14ac:dyDescent="0.25">
      <c r="A884" t="s">
        <v>203</v>
      </c>
      <c r="B884" t="s">
        <v>228</v>
      </c>
      <c r="C884">
        <v>155</v>
      </c>
      <c r="D884" t="s">
        <v>200</v>
      </c>
      <c r="E884">
        <v>2630</v>
      </c>
      <c r="G884" s="1">
        <v>0.70099999999999996</v>
      </c>
      <c r="I884" s="1">
        <v>0.29899999999999999</v>
      </c>
    </row>
    <row r="885" spans="1:9" x14ac:dyDescent="0.25">
      <c r="A885" t="s">
        <v>203</v>
      </c>
      <c r="B885" t="s">
        <v>229</v>
      </c>
      <c r="C885">
        <v>136</v>
      </c>
      <c r="D885" t="s">
        <v>201</v>
      </c>
      <c r="E885">
        <v>2630</v>
      </c>
      <c r="F885" s="1">
        <v>1.2E-2</v>
      </c>
      <c r="G885" s="1">
        <v>0.69289999999999996</v>
      </c>
      <c r="I885" s="1">
        <v>0.29509999999999997</v>
      </c>
    </row>
    <row r="886" spans="1:9" x14ac:dyDescent="0.25">
      <c r="A886" t="s">
        <v>203</v>
      </c>
      <c r="B886" t="s">
        <v>228</v>
      </c>
      <c r="C886">
        <v>177</v>
      </c>
      <c r="D886" t="s">
        <v>201</v>
      </c>
      <c r="E886">
        <v>2630</v>
      </c>
      <c r="F886" s="1">
        <v>6.8999999999999999E-3</v>
      </c>
      <c r="G886" s="1">
        <v>0.6038</v>
      </c>
      <c r="I886" s="1">
        <v>0.38929999999999998</v>
      </c>
    </row>
    <row r="887" spans="1:9" x14ac:dyDescent="0.25">
      <c r="A887" t="s">
        <v>203</v>
      </c>
      <c r="B887" t="s">
        <v>228</v>
      </c>
      <c r="C887">
        <v>34</v>
      </c>
      <c r="D887" t="s">
        <v>202</v>
      </c>
      <c r="E887">
        <v>2630</v>
      </c>
      <c r="G887" s="1">
        <v>0.50280000000000002</v>
      </c>
      <c r="I887" s="1">
        <v>0.49719999999999998</v>
      </c>
    </row>
    <row r="888" spans="1:9" x14ac:dyDescent="0.25">
      <c r="A888" t="s">
        <v>203</v>
      </c>
      <c r="B888" t="s">
        <v>229</v>
      </c>
      <c r="C888">
        <v>56</v>
      </c>
      <c r="D888" t="s">
        <v>202</v>
      </c>
      <c r="E888">
        <v>2630</v>
      </c>
      <c r="G888" s="1">
        <v>0.56759999999999999</v>
      </c>
      <c r="I888" s="1">
        <v>0.43240000000000001</v>
      </c>
    </row>
    <row r="889" spans="1:9" x14ac:dyDescent="0.25">
      <c r="A889" t="s">
        <v>204</v>
      </c>
      <c r="B889" t="s">
        <v>204</v>
      </c>
      <c r="C889">
        <v>2630</v>
      </c>
      <c r="D889" t="s">
        <v>204</v>
      </c>
      <c r="E889">
        <v>2630</v>
      </c>
      <c r="F889" s="1">
        <v>8.8999999999999999E-3</v>
      </c>
      <c r="G889" s="1">
        <v>0.52339999999999998</v>
      </c>
      <c r="H889" s="1">
        <v>4.0000000000000002E-4</v>
      </c>
      <c r="I889" s="1">
        <v>0.46739999999999998</v>
      </c>
    </row>
    <row r="891" spans="1:9" x14ac:dyDescent="0.25">
      <c r="A891" t="s">
        <v>353</v>
      </c>
    </row>
    <row r="892" spans="1:9" x14ac:dyDescent="0.25">
      <c r="A892" t="s">
        <v>190</v>
      </c>
      <c r="B892" t="s">
        <v>206</v>
      </c>
      <c r="C892" t="s">
        <v>195</v>
      </c>
      <c r="D892" t="s">
        <v>189</v>
      </c>
      <c r="E892" t="s">
        <v>196</v>
      </c>
      <c r="F892" t="s">
        <v>220</v>
      </c>
      <c r="G892" t="s">
        <v>207</v>
      </c>
      <c r="H892" t="s">
        <v>215</v>
      </c>
      <c r="I892" t="s">
        <v>208</v>
      </c>
    </row>
    <row r="893" spans="1:9" x14ac:dyDescent="0.25">
      <c r="A893" t="s">
        <v>198</v>
      </c>
      <c r="B893" t="s">
        <v>348</v>
      </c>
      <c r="C893">
        <v>79</v>
      </c>
      <c r="D893" t="s">
        <v>197</v>
      </c>
      <c r="E893">
        <v>2630</v>
      </c>
      <c r="F893" s="1">
        <v>2.93E-2</v>
      </c>
      <c r="G893" s="1">
        <v>0.36909999999999998</v>
      </c>
      <c r="I893" s="1">
        <v>0.60170000000000001</v>
      </c>
    </row>
    <row r="894" spans="1:9" s="29" customFormat="1" x14ac:dyDescent="0.25">
      <c r="A894" s="29" t="s">
        <v>198</v>
      </c>
      <c r="B894" s="29" t="s">
        <v>349</v>
      </c>
      <c r="C894" s="29">
        <v>3</v>
      </c>
      <c r="D894" s="29" t="s">
        <v>197</v>
      </c>
      <c r="E894" s="29">
        <v>2630</v>
      </c>
      <c r="G894" s="30">
        <v>0.66669999999999996</v>
      </c>
      <c r="I894" s="30">
        <v>0.33329999999999999</v>
      </c>
    </row>
    <row r="895" spans="1:9" x14ac:dyDescent="0.25">
      <c r="A895" t="s">
        <v>198</v>
      </c>
      <c r="B895" t="s">
        <v>348</v>
      </c>
      <c r="C895">
        <v>54</v>
      </c>
      <c r="D895" t="s">
        <v>199</v>
      </c>
      <c r="E895">
        <v>2630</v>
      </c>
      <c r="G895" s="1">
        <v>0.44479999999999997</v>
      </c>
      <c r="I895" s="1">
        <v>0.55520000000000003</v>
      </c>
    </row>
    <row r="896" spans="1:9" x14ac:dyDescent="0.25">
      <c r="A896" t="s">
        <v>198</v>
      </c>
      <c r="B896" t="s">
        <v>349</v>
      </c>
      <c r="C896">
        <v>110</v>
      </c>
      <c r="D896" t="s">
        <v>199</v>
      </c>
      <c r="E896">
        <v>2630</v>
      </c>
      <c r="G896" s="1">
        <v>0.63990000000000002</v>
      </c>
      <c r="I896" s="1">
        <v>0.36009999999999998</v>
      </c>
    </row>
    <row r="897" spans="1:9" x14ac:dyDescent="0.25">
      <c r="A897" t="s">
        <v>198</v>
      </c>
      <c r="B897" t="s">
        <v>350</v>
      </c>
      <c r="C897">
        <v>192</v>
      </c>
      <c r="D897" t="s">
        <v>199</v>
      </c>
      <c r="E897">
        <v>2630</v>
      </c>
      <c r="F897" s="1">
        <v>7.3000000000000001E-3</v>
      </c>
      <c r="G897" s="1">
        <v>0.33329999999999999</v>
      </c>
      <c r="I897" s="1">
        <v>0.6593</v>
      </c>
    </row>
    <row r="898" spans="1:9" x14ac:dyDescent="0.25">
      <c r="A898" t="s">
        <v>198</v>
      </c>
      <c r="B898" t="s">
        <v>350</v>
      </c>
      <c r="C898">
        <v>78</v>
      </c>
      <c r="D898" t="s">
        <v>200</v>
      </c>
      <c r="E898">
        <v>2630</v>
      </c>
      <c r="F898" s="1">
        <v>1.4E-3</v>
      </c>
      <c r="G898" s="1">
        <v>0.24679999999999999</v>
      </c>
      <c r="I898" s="1">
        <v>0.75180000000000002</v>
      </c>
    </row>
    <row r="899" spans="1:9" x14ac:dyDescent="0.25">
      <c r="A899" t="s">
        <v>198</v>
      </c>
      <c r="B899" t="s">
        <v>348</v>
      </c>
      <c r="C899">
        <v>242</v>
      </c>
      <c r="D899" t="s">
        <v>200</v>
      </c>
      <c r="E899">
        <v>2630</v>
      </c>
      <c r="F899" s="1">
        <v>1.61E-2</v>
      </c>
      <c r="G899" s="1">
        <v>0.37730000000000002</v>
      </c>
      <c r="H899" s="1">
        <v>2E-3</v>
      </c>
      <c r="I899" s="1">
        <v>0.60450000000000004</v>
      </c>
    </row>
    <row r="900" spans="1:9" x14ac:dyDescent="0.25">
      <c r="A900" t="s">
        <v>198</v>
      </c>
      <c r="B900" t="s">
        <v>349</v>
      </c>
      <c r="C900">
        <v>62</v>
      </c>
      <c r="D900" t="s">
        <v>200</v>
      </c>
      <c r="E900">
        <v>2630</v>
      </c>
      <c r="G900" s="1">
        <v>0.55479999999999996</v>
      </c>
      <c r="I900" s="1">
        <v>0.44519999999999998</v>
      </c>
    </row>
    <row r="901" spans="1:9" x14ac:dyDescent="0.25">
      <c r="A901" t="s">
        <v>198</v>
      </c>
      <c r="B901" t="s">
        <v>349</v>
      </c>
      <c r="C901">
        <v>125</v>
      </c>
      <c r="D901" t="s">
        <v>201</v>
      </c>
      <c r="E901">
        <v>2630</v>
      </c>
      <c r="F901" s="1">
        <v>2.3E-3</v>
      </c>
      <c r="G901" s="1">
        <v>0.43490000000000001</v>
      </c>
      <c r="I901" s="1">
        <v>0.56289999999999996</v>
      </c>
    </row>
    <row r="902" spans="1:9" x14ac:dyDescent="0.25">
      <c r="A902" t="s">
        <v>198</v>
      </c>
      <c r="B902" t="s">
        <v>350</v>
      </c>
      <c r="C902">
        <v>63</v>
      </c>
      <c r="D902" t="s">
        <v>201</v>
      </c>
      <c r="E902">
        <v>2630</v>
      </c>
      <c r="F902" s="1">
        <v>1.47E-2</v>
      </c>
      <c r="G902" s="1">
        <v>0.2049</v>
      </c>
      <c r="I902" s="1">
        <v>0.78039999999999998</v>
      </c>
    </row>
    <row r="903" spans="1:9" x14ac:dyDescent="0.25">
      <c r="A903" t="s">
        <v>198</v>
      </c>
      <c r="B903" t="s">
        <v>348</v>
      </c>
      <c r="C903">
        <v>62</v>
      </c>
      <c r="D903" t="s">
        <v>201</v>
      </c>
      <c r="E903">
        <v>2630</v>
      </c>
      <c r="F903" s="1">
        <v>3.1099999999999999E-2</v>
      </c>
      <c r="G903" s="1">
        <v>0.318</v>
      </c>
      <c r="I903" s="1">
        <v>0.65100000000000002</v>
      </c>
    </row>
    <row r="904" spans="1:9" x14ac:dyDescent="0.25">
      <c r="A904" t="s">
        <v>198</v>
      </c>
      <c r="B904" t="s">
        <v>348</v>
      </c>
      <c r="C904">
        <v>96</v>
      </c>
      <c r="D904" t="s">
        <v>202</v>
      </c>
      <c r="E904">
        <v>2630</v>
      </c>
      <c r="G904" s="1">
        <v>0.45140000000000002</v>
      </c>
      <c r="I904" s="1">
        <v>0.54859999999999998</v>
      </c>
    </row>
    <row r="905" spans="1:9" x14ac:dyDescent="0.25">
      <c r="A905" t="s">
        <v>203</v>
      </c>
      <c r="B905" t="s">
        <v>349</v>
      </c>
      <c r="C905">
        <v>171</v>
      </c>
      <c r="D905" t="s">
        <v>199</v>
      </c>
      <c r="E905">
        <v>2630</v>
      </c>
      <c r="F905" s="1">
        <v>1.6999999999999999E-3</v>
      </c>
      <c r="G905" s="1">
        <v>0.68510000000000004</v>
      </c>
      <c r="I905" s="1">
        <v>0.31319999999999998</v>
      </c>
    </row>
    <row r="906" spans="1:9" x14ac:dyDescent="0.25">
      <c r="A906" t="s">
        <v>203</v>
      </c>
      <c r="B906" t="s">
        <v>348</v>
      </c>
      <c r="C906">
        <v>42</v>
      </c>
      <c r="D906" t="s">
        <v>199</v>
      </c>
      <c r="E906">
        <v>2630</v>
      </c>
      <c r="G906" s="1">
        <v>0.67100000000000004</v>
      </c>
      <c r="I906" s="1">
        <v>0.32900000000000001</v>
      </c>
    </row>
    <row r="907" spans="1:9" x14ac:dyDescent="0.25">
      <c r="A907" t="s">
        <v>203</v>
      </c>
      <c r="B907" t="s">
        <v>350</v>
      </c>
      <c r="C907">
        <v>307</v>
      </c>
      <c r="D907" t="s">
        <v>199</v>
      </c>
      <c r="E907">
        <v>2630</v>
      </c>
      <c r="F907" s="1">
        <v>1.1000000000000001E-3</v>
      </c>
      <c r="G907" s="1">
        <v>0.44650000000000001</v>
      </c>
      <c r="H907" s="1">
        <v>1E-3</v>
      </c>
      <c r="I907" s="1">
        <v>0.5514</v>
      </c>
    </row>
    <row r="908" spans="1:9" x14ac:dyDescent="0.25">
      <c r="A908" t="s">
        <v>203</v>
      </c>
      <c r="B908" t="s">
        <v>348</v>
      </c>
      <c r="C908">
        <v>300</v>
      </c>
      <c r="D908" t="s">
        <v>200</v>
      </c>
      <c r="E908">
        <v>2630</v>
      </c>
      <c r="F908" s="1">
        <v>1.2E-2</v>
      </c>
      <c r="G908" s="1">
        <v>0.66790000000000005</v>
      </c>
      <c r="I908" s="1">
        <v>0.3201</v>
      </c>
    </row>
    <row r="909" spans="1:9" x14ac:dyDescent="0.25">
      <c r="A909" t="s">
        <v>203</v>
      </c>
      <c r="B909" t="s">
        <v>349</v>
      </c>
      <c r="C909">
        <v>108</v>
      </c>
      <c r="D909" t="s">
        <v>200</v>
      </c>
      <c r="E909">
        <v>2630</v>
      </c>
      <c r="F909" s="1">
        <v>1.5299999999999999E-2</v>
      </c>
      <c r="G909" s="1">
        <v>0.433</v>
      </c>
      <c r="I909" s="1">
        <v>0.55169999999999997</v>
      </c>
    </row>
    <row r="910" spans="1:9" x14ac:dyDescent="0.25">
      <c r="A910" t="s">
        <v>203</v>
      </c>
      <c r="B910" t="s">
        <v>350</v>
      </c>
      <c r="C910">
        <v>94</v>
      </c>
      <c r="D910" t="s">
        <v>200</v>
      </c>
      <c r="E910">
        <v>2630</v>
      </c>
      <c r="F910" s="1">
        <v>3.3999999999999998E-3</v>
      </c>
      <c r="G910" s="1">
        <v>0.31409999999999999</v>
      </c>
      <c r="I910" s="1">
        <v>0.6825</v>
      </c>
    </row>
    <row r="911" spans="1:9" x14ac:dyDescent="0.25">
      <c r="A911" t="s">
        <v>203</v>
      </c>
      <c r="B911" t="s">
        <v>348</v>
      </c>
      <c r="C911">
        <v>62</v>
      </c>
      <c r="D911" t="s">
        <v>201</v>
      </c>
      <c r="E911">
        <v>2630</v>
      </c>
      <c r="F911" s="1">
        <v>1.9E-2</v>
      </c>
      <c r="G911" s="1">
        <v>0.49840000000000001</v>
      </c>
      <c r="I911" s="1">
        <v>0.48259999999999997</v>
      </c>
    </row>
    <row r="912" spans="1:9" x14ac:dyDescent="0.25">
      <c r="A912" t="s">
        <v>203</v>
      </c>
      <c r="B912" t="s">
        <v>349</v>
      </c>
      <c r="C912">
        <v>146</v>
      </c>
      <c r="D912" t="s">
        <v>201</v>
      </c>
      <c r="E912">
        <v>2630</v>
      </c>
      <c r="F912" s="1">
        <v>1.04E-2</v>
      </c>
      <c r="G912" s="1">
        <v>0.72529999999999994</v>
      </c>
      <c r="I912" s="1">
        <v>0.26429999999999998</v>
      </c>
    </row>
    <row r="913" spans="1:9" x14ac:dyDescent="0.25">
      <c r="A913" t="s">
        <v>203</v>
      </c>
      <c r="B913" t="s">
        <v>350</v>
      </c>
      <c r="C913">
        <v>105</v>
      </c>
      <c r="D913" t="s">
        <v>201</v>
      </c>
      <c r="E913">
        <v>2630</v>
      </c>
      <c r="F913" s="1">
        <v>2.8E-3</v>
      </c>
      <c r="G913" s="1">
        <v>0.32750000000000001</v>
      </c>
      <c r="I913" s="1">
        <v>0.66969999999999996</v>
      </c>
    </row>
    <row r="914" spans="1:9" x14ac:dyDescent="0.25">
      <c r="A914" t="s">
        <v>203</v>
      </c>
      <c r="B914" t="s">
        <v>348</v>
      </c>
      <c r="C914">
        <v>90</v>
      </c>
      <c r="D914" t="s">
        <v>202</v>
      </c>
      <c r="E914">
        <v>2630</v>
      </c>
      <c r="G914" s="1">
        <v>0.54930000000000001</v>
      </c>
      <c r="I914" s="1">
        <v>0.45069999999999999</v>
      </c>
    </row>
    <row r="915" spans="1:9" x14ac:dyDescent="0.25">
      <c r="A915" t="s">
        <v>204</v>
      </c>
      <c r="B915" t="s">
        <v>204</v>
      </c>
      <c r="C915">
        <v>2630</v>
      </c>
      <c r="D915" t="s">
        <v>204</v>
      </c>
      <c r="E915">
        <v>2630</v>
      </c>
      <c r="F915" s="1">
        <v>8.8999999999999999E-3</v>
      </c>
      <c r="G915" s="1">
        <v>0.52339999999999998</v>
      </c>
      <c r="H915" s="1">
        <v>4.0000000000000002E-4</v>
      </c>
      <c r="I915" s="1">
        <v>0.46739999999999998</v>
      </c>
    </row>
    <row r="917" spans="1:9" x14ac:dyDescent="0.25">
      <c r="A917" t="s">
        <v>354</v>
      </c>
    </row>
    <row r="918" spans="1:9" x14ac:dyDescent="0.25">
      <c r="A918" t="s">
        <v>190</v>
      </c>
      <c r="B918" t="s">
        <v>195</v>
      </c>
      <c r="C918" t="s">
        <v>189</v>
      </c>
      <c r="D918" t="s">
        <v>196</v>
      </c>
      <c r="E918" t="s">
        <v>220</v>
      </c>
      <c r="F918" t="s">
        <v>207</v>
      </c>
      <c r="G918" t="s">
        <v>215</v>
      </c>
      <c r="H918" t="s">
        <v>208</v>
      </c>
    </row>
    <row r="919" spans="1:9" x14ac:dyDescent="0.25">
      <c r="A919" t="s">
        <v>198</v>
      </c>
      <c r="B919">
        <v>82</v>
      </c>
      <c r="C919" t="s">
        <v>197</v>
      </c>
      <c r="D919">
        <v>2626</v>
      </c>
      <c r="F919" s="1">
        <v>0.2409</v>
      </c>
      <c r="H919" s="1">
        <v>0.7591</v>
      </c>
    </row>
    <row r="920" spans="1:9" x14ac:dyDescent="0.25">
      <c r="A920" t="s">
        <v>198</v>
      </c>
      <c r="B920">
        <v>367</v>
      </c>
      <c r="C920" t="s">
        <v>199</v>
      </c>
      <c r="D920">
        <v>2626</v>
      </c>
      <c r="E920" s="1">
        <v>1.2999999999999999E-3</v>
      </c>
      <c r="F920" s="1">
        <v>0.33650000000000002</v>
      </c>
      <c r="H920" s="1">
        <v>0.6623</v>
      </c>
    </row>
    <row r="921" spans="1:9" x14ac:dyDescent="0.25">
      <c r="A921" t="s">
        <v>198</v>
      </c>
      <c r="B921">
        <v>384</v>
      </c>
      <c r="C921" t="s">
        <v>200</v>
      </c>
      <c r="D921">
        <v>2626</v>
      </c>
      <c r="E921" s="1">
        <v>7.4000000000000003E-3</v>
      </c>
      <c r="F921" s="1">
        <v>0.29299999999999998</v>
      </c>
      <c r="G921" s="1">
        <v>5.4000000000000003E-3</v>
      </c>
      <c r="H921" s="1">
        <v>0.69420000000000004</v>
      </c>
    </row>
    <row r="922" spans="1:9" x14ac:dyDescent="0.25">
      <c r="A922" t="s">
        <v>198</v>
      </c>
      <c r="B922">
        <v>256</v>
      </c>
      <c r="C922" t="s">
        <v>201</v>
      </c>
      <c r="D922">
        <v>2626</v>
      </c>
      <c r="F922" s="1">
        <v>0.22539999999999999</v>
      </c>
      <c r="H922" s="1">
        <v>0.77459999999999996</v>
      </c>
    </row>
    <row r="923" spans="1:9" x14ac:dyDescent="0.25">
      <c r="A923" t="s">
        <v>198</v>
      </c>
      <c r="B923">
        <v>96</v>
      </c>
      <c r="C923" t="s">
        <v>202</v>
      </c>
      <c r="D923">
        <v>2626</v>
      </c>
      <c r="F923" s="1">
        <v>0.309</v>
      </c>
      <c r="H923" s="1">
        <v>0.69099999999999995</v>
      </c>
    </row>
    <row r="924" spans="1:9" x14ac:dyDescent="0.25">
      <c r="A924" t="s">
        <v>203</v>
      </c>
      <c r="B924">
        <v>530</v>
      </c>
      <c r="C924" t="s">
        <v>199</v>
      </c>
      <c r="D924">
        <v>2626</v>
      </c>
      <c r="F924" s="1">
        <v>0.3196</v>
      </c>
      <c r="G924" s="1">
        <v>1.1000000000000001E-3</v>
      </c>
      <c r="H924" s="1">
        <v>0.67930000000000001</v>
      </c>
    </row>
    <row r="925" spans="1:9" x14ac:dyDescent="0.25">
      <c r="A925" t="s">
        <v>203</v>
      </c>
      <c r="B925">
        <v>502</v>
      </c>
      <c r="C925" t="s">
        <v>200</v>
      </c>
      <c r="D925">
        <v>2626</v>
      </c>
      <c r="E925" s="1">
        <v>2.2000000000000001E-3</v>
      </c>
      <c r="F925" s="1">
        <v>0.47960000000000003</v>
      </c>
      <c r="H925" s="1">
        <v>0.51819999999999999</v>
      </c>
    </row>
    <row r="926" spans="1:9" x14ac:dyDescent="0.25">
      <c r="A926" t="s">
        <v>203</v>
      </c>
      <c r="B926">
        <v>319</v>
      </c>
      <c r="C926" t="s">
        <v>201</v>
      </c>
      <c r="D926">
        <v>2626</v>
      </c>
      <c r="E926" s="1">
        <v>2.3699999999999999E-2</v>
      </c>
      <c r="F926" s="1">
        <v>0.3105</v>
      </c>
      <c r="H926" s="1">
        <v>0.66569999999999996</v>
      </c>
    </row>
    <row r="927" spans="1:9" x14ac:dyDescent="0.25">
      <c r="A927" t="s">
        <v>203</v>
      </c>
      <c r="B927">
        <v>90</v>
      </c>
      <c r="C927" t="s">
        <v>202</v>
      </c>
      <c r="D927">
        <v>2626</v>
      </c>
      <c r="F927" s="1">
        <v>0.51439999999999997</v>
      </c>
      <c r="H927" s="1">
        <v>0.48559999999999998</v>
      </c>
    </row>
    <row r="928" spans="1:9" x14ac:dyDescent="0.25">
      <c r="A928" t="s">
        <v>204</v>
      </c>
      <c r="B928">
        <v>2626</v>
      </c>
      <c r="C928" t="s">
        <v>204</v>
      </c>
      <c r="D928">
        <v>2626</v>
      </c>
      <c r="E928" s="1">
        <v>3.0000000000000001E-3</v>
      </c>
      <c r="F928" s="1">
        <v>0.36630000000000001</v>
      </c>
      <c r="G928" s="1">
        <v>8.0000000000000004E-4</v>
      </c>
      <c r="H928" s="1">
        <v>0.62980000000000003</v>
      </c>
    </row>
    <row r="930" spans="1:9" x14ac:dyDescent="0.25">
      <c r="A930" t="s">
        <v>355</v>
      </c>
    </row>
    <row r="931" spans="1:9" x14ac:dyDescent="0.25">
      <c r="A931" t="s">
        <v>190</v>
      </c>
      <c r="B931" t="s">
        <v>206</v>
      </c>
      <c r="C931" t="s">
        <v>195</v>
      </c>
      <c r="D931" t="s">
        <v>189</v>
      </c>
      <c r="E931" t="s">
        <v>196</v>
      </c>
      <c r="F931" t="s">
        <v>220</v>
      </c>
      <c r="G931" t="s">
        <v>207</v>
      </c>
      <c r="H931" t="s">
        <v>215</v>
      </c>
      <c r="I931" t="s">
        <v>208</v>
      </c>
    </row>
    <row r="932" spans="1:9" x14ac:dyDescent="0.25">
      <c r="A932" t="s">
        <v>198</v>
      </c>
      <c r="B932" t="s">
        <v>228</v>
      </c>
      <c r="C932">
        <v>33</v>
      </c>
      <c r="D932" t="s">
        <v>197</v>
      </c>
      <c r="E932">
        <v>2626</v>
      </c>
      <c r="G932" s="1">
        <v>0.2762</v>
      </c>
      <c r="I932" s="1">
        <v>0.7238</v>
      </c>
    </row>
    <row r="933" spans="1:9" x14ac:dyDescent="0.25">
      <c r="A933" t="s">
        <v>198</v>
      </c>
      <c r="B933" t="s">
        <v>229</v>
      </c>
      <c r="C933">
        <v>49</v>
      </c>
      <c r="D933" t="s">
        <v>197</v>
      </c>
      <c r="E933">
        <v>2626</v>
      </c>
      <c r="G933" s="1">
        <v>0.214</v>
      </c>
      <c r="I933" s="1">
        <v>0.78600000000000003</v>
      </c>
    </row>
    <row r="934" spans="1:9" x14ac:dyDescent="0.25">
      <c r="A934" t="s">
        <v>198</v>
      </c>
      <c r="B934" t="s">
        <v>228</v>
      </c>
      <c r="C934">
        <v>145</v>
      </c>
      <c r="D934" t="s">
        <v>199</v>
      </c>
      <c r="E934">
        <v>2626</v>
      </c>
      <c r="F934" s="1">
        <v>4.8999999999999998E-3</v>
      </c>
      <c r="G934" s="1">
        <v>0.18360000000000001</v>
      </c>
      <c r="I934" s="1">
        <v>0.8115</v>
      </c>
    </row>
    <row r="935" spans="1:9" x14ac:dyDescent="0.25">
      <c r="A935" t="s">
        <v>198</v>
      </c>
      <c r="B935" t="s">
        <v>229</v>
      </c>
      <c r="C935">
        <v>212</v>
      </c>
      <c r="D935" t="s">
        <v>199</v>
      </c>
      <c r="E935">
        <v>2626</v>
      </c>
      <c r="G935" s="1">
        <v>0.39140000000000003</v>
      </c>
      <c r="I935" s="1">
        <v>0.60860000000000003</v>
      </c>
    </row>
    <row r="936" spans="1:9" x14ac:dyDescent="0.25">
      <c r="A936" t="s">
        <v>198</v>
      </c>
      <c r="B936" t="s">
        <v>229</v>
      </c>
      <c r="C936">
        <v>268</v>
      </c>
      <c r="D936" t="s">
        <v>200</v>
      </c>
      <c r="E936">
        <v>2626</v>
      </c>
      <c r="F936" s="1">
        <v>9.7000000000000003E-3</v>
      </c>
      <c r="G936" s="1">
        <v>0.2641</v>
      </c>
      <c r="H936" s="1">
        <v>7.1000000000000004E-3</v>
      </c>
      <c r="I936" s="1">
        <v>0.71899999999999997</v>
      </c>
    </row>
    <row r="937" spans="1:9" x14ac:dyDescent="0.25">
      <c r="A937" t="s">
        <v>198</v>
      </c>
      <c r="B937" t="s">
        <v>228</v>
      </c>
      <c r="C937">
        <v>111</v>
      </c>
      <c r="D937" t="s">
        <v>200</v>
      </c>
      <c r="E937">
        <v>2626</v>
      </c>
      <c r="G937" s="1">
        <v>0.39579999999999999</v>
      </c>
      <c r="I937" s="1">
        <v>0.60419999999999996</v>
      </c>
    </row>
    <row r="938" spans="1:9" x14ac:dyDescent="0.25">
      <c r="A938" t="s">
        <v>198</v>
      </c>
      <c r="B938" t="s">
        <v>228</v>
      </c>
      <c r="C938">
        <v>95</v>
      </c>
      <c r="D938" t="s">
        <v>201</v>
      </c>
      <c r="E938">
        <v>2626</v>
      </c>
      <c r="G938" s="1">
        <v>0.32919999999999999</v>
      </c>
      <c r="I938" s="1">
        <v>0.67079999999999995</v>
      </c>
    </row>
    <row r="939" spans="1:9" x14ac:dyDescent="0.25">
      <c r="A939" t="s">
        <v>198</v>
      </c>
      <c r="B939" t="s">
        <v>229</v>
      </c>
      <c r="C939">
        <v>155</v>
      </c>
      <c r="D939" t="s">
        <v>201</v>
      </c>
      <c r="E939">
        <v>2626</v>
      </c>
      <c r="G939" s="1">
        <v>0.19919999999999999</v>
      </c>
      <c r="I939" s="1">
        <v>0.80079999999999996</v>
      </c>
    </row>
    <row r="940" spans="1:9" s="29" customFormat="1" x14ac:dyDescent="0.25">
      <c r="A940" s="29" t="s">
        <v>198</v>
      </c>
      <c r="B940" s="29" t="s">
        <v>228</v>
      </c>
      <c r="C940" s="29">
        <v>28</v>
      </c>
      <c r="D940" s="29" t="s">
        <v>202</v>
      </c>
      <c r="E940" s="29">
        <v>2626</v>
      </c>
      <c r="G940" s="30">
        <v>0.10059999999999999</v>
      </c>
      <c r="I940" s="30">
        <v>0.89939999999999998</v>
      </c>
    </row>
    <row r="941" spans="1:9" x14ac:dyDescent="0.25">
      <c r="A941" t="s">
        <v>198</v>
      </c>
      <c r="B941" t="s">
        <v>229</v>
      </c>
      <c r="C941">
        <v>68</v>
      </c>
      <c r="D941" t="s">
        <v>202</v>
      </c>
      <c r="E941">
        <v>2626</v>
      </c>
      <c r="G941" s="1">
        <v>0.37359999999999999</v>
      </c>
      <c r="I941" s="1">
        <v>0.62639999999999996</v>
      </c>
    </row>
    <row r="942" spans="1:9" x14ac:dyDescent="0.25">
      <c r="A942" t="s">
        <v>203</v>
      </c>
      <c r="B942" t="s">
        <v>229</v>
      </c>
      <c r="C942">
        <v>370</v>
      </c>
      <c r="D942" t="s">
        <v>199</v>
      </c>
      <c r="E942">
        <v>2626</v>
      </c>
      <c r="G942" s="1">
        <v>0.32790000000000002</v>
      </c>
      <c r="H942" s="1">
        <v>1.2999999999999999E-3</v>
      </c>
      <c r="I942" s="1">
        <v>0.67090000000000005</v>
      </c>
    </row>
    <row r="943" spans="1:9" x14ac:dyDescent="0.25">
      <c r="A943" t="s">
        <v>203</v>
      </c>
      <c r="B943" t="s">
        <v>228</v>
      </c>
      <c r="C943">
        <v>150</v>
      </c>
      <c r="D943" t="s">
        <v>199</v>
      </c>
      <c r="E943">
        <v>2626</v>
      </c>
      <c r="G943" s="1">
        <v>0.26269999999999999</v>
      </c>
      <c r="I943" s="1">
        <v>0.73729999999999996</v>
      </c>
    </row>
    <row r="944" spans="1:9" x14ac:dyDescent="0.25">
      <c r="A944" t="s">
        <v>203</v>
      </c>
      <c r="B944" t="s">
        <v>229</v>
      </c>
      <c r="C944">
        <v>347</v>
      </c>
      <c r="D944" t="s">
        <v>200</v>
      </c>
      <c r="E944">
        <v>2626</v>
      </c>
      <c r="F944" s="1">
        <v>1.6999999999999999E-3</v>
      </c>
      <c r="G944" s="1">
        <v>0.44080000000000003</v>
      </c>
      <c r="I944" s="1">
        <v>0.55759999999999998</v>
      </c>
    </row>
    <row r="945" spans="1:9" x14ac:dyDescent="0.25">
      <c r="A945" t="s">
        <v>203</v>
      </c>
      <c r="B945" t="s">
        <v>228</v>
      </c>
      <c r="C945">
        <v>154</v>
      </c>
      <c r="D945" t="s">
        <v>200</v>
      </c>
      <c r="E945">
        <v>2626</v>
      </c>
      <c r="F945" s="1">
        <v>4.3E-3</v>
      </c>
      <c r="G945" s="1">
        <v>0.64349999999999996</v>
      </c>
      <c r="I945" s="1">
        <v>0.35220000000000001</v>
      </c>
    </row>
    <row r="946" spans="1:9" x14ac:dyDescent="0.25">
      <c r="A946" t="s">
        <v>203</v>
      </c>
      <c r="B946" t="s">
        <v>229</v>
      </c>
      <c r="C946">
        <v>136</v>
      </c>
      <c r="D946" t="s">
        <v>201</v>
      </c>
      <c r="E946">
        <v>2626</v>
      </c>
      <c r="F946" s="1">
        <v>3.1300000000000001E-2</v>
      </c>
      <c r="G946" s="1">
        <v>0.34989999999999999</v>
      </c>
      <c r="I946" s="1">
        <v>0.61870000000000003</v>
      </c>
    </row>
    <row r="947" spans="1:9" x14ac:dyDescent="0.25">
      <c r="A947" t="s">
        <v>203</v>
      </c>
      <c r="B947" t="s">
        <v>228</v>
      </c>
      <c r="C947">
        <v>176</v>
      </c>
      <c r="D947" t="s">
        <v>201</v>
      </c>
      <c r="E947">
        <v>2626</v>
      </c>
      <c r="G947" s="1">
        <v>0.18440000000000001</v>
      </c>
      <c r="I947" s="1">
        <v>0.81559999999999999</v>
      </c>
    </row>
    <row r="948" spans="1:9" x14ac:dyDescent="0.25">
      <c r="A948" t="s">
        <v>203</v>
      </c>
      <c r="B948" t="s">
        <v>228</v>
      </c>
      <c r="C948">
        <v>34</v>
      </c>
      <c r="D948" t="s">
        <v>202</v>
      </c>
      <c r="E948">
        <v>2626</v>
      </c>
      <c r="G948" s="1">
        <v>0.30220000000000002</v>
      </c>
      <c r="I948" s="1">
        <v>0.69779999999999998</v>
      </c>
    </row>
    <row r="949" spans="1:9" x14ac:dyDescent="0.25">
      <c r="A949" t="s">
        <v>203</v>
      </c>
      <c r="B949" t="s">
        <v>229</v>
      </c>
      <c r="C949">
        <v>56</v>
      </c>
      <c r="D949" t="s">
        <v>202</v>
      </c>
      <c r="E949">
        <v>2626</v>
      </c>
      <c r="G949" s="1">
        <v>0.59789999999999999</v>
      </c>
      <c r="I949" s="1">
        <v>0.40210000000000001</v>
      </c>
    </row>
    <row r="950" spans="1:9" x14ac:dyDescent="0.25">
      <c r="A950" t="s">
        <v>204</v>
      </c>
      <c r="B950" t="s">
        <v>204</v>
      </c>
      <c r="C950">
        <v>2626</v>
      </c>
      <c r="D950" t="s">
        <v>204</v>
      </c>
      <c r="E950">
        <v>2626</v>
      </c>
      <c r="F950" s="1">
        <v>3.0000000000000001E-3</v>
      </c>
      <c r="G950" s="1">
        <v>0.36630000000000001</v>
      </c>
      <c r="H950" s="1">
        <v>8.0000000000000004E-4</v>
      </c>
      <c r="I950" s="1">
        <v>0.62980000000000003</v>
      </c>
    </row>
    <row r="952" spans="1:9" x14ac:dyDescent="0.25">
      <c r="A952" t="s">
        <v>356</v>
      </c>
    </row>
    <row r="953" spans="1:9" x14ac:dyDescent="0.25">
      <c r="A953" t="s">
        <v>190</v>
      </c>
      <c r="B953" t="s">
        <v>206</v>
      </c>
      <c r="C953" t="s">
        <v>195</v>
      </c>
      <c r="D953" t="s">
        <v>189</v>
      </c>
      <c r="E953" t="s">
        <v>196</v>
      </c>
      <c r="F953" t="s">
        <v>220</v>
      </c>
      <c r="G953" t="s">
        <v>207</v>
      </c>
      <c r="H953" t="s">
        <v>215</v>
      </c>
      <c r="I953" t="s">
        <v>208</v>
      </c>
    </row>
    <row r="954" spans="1:9" x14ac:dyDescent="0.25">
      <c r="A954" t="s">
        <v>198</v>
      </c>
      <c r="B954" t="s">
        <v>348</v>
      </c>
      <c r="C954">
        <v>79</v>
      </c>
      <c r="D954" t="s">
        <v>197</v>
      </c>
      <c r="E954">
        <v>2626</v>
      </c>
      <c r="G954" s="1">
        <v>0.23769999999999999</v>
      </c>
      <c r="I954" s="1">
        <v>0.76229999999999998</v>
      </c>
    </row>
    <row r="955" spans="1:9" s="29" customFormat="1" x14ac:dyDescent="0.25">
      <c r="A955" s="29" t="s">
        <v>198</v>
      </c>
      <c r="B955" s="29" t="s">
        <v>349</v>
      </c>
      <c r="C955" s="29">
        <v>3</v>
      </c>
      <c r="D955" s="29" t="s">
        <v>197</v>
      </c>
      <c r="E955" s="29">
        <v>2626</v>
      </c>
      <c r="G955" s="30">
        <v>0.33329999999999999</v>
      </c>
      <c r="I955" s="30">
        <v>0.66669999999999996</v>
      </c>
    </row>
    <row r="956" spans="1:9" x14ac:dyDescent="0.25">
      <c r="A956" t="s">
        <v>198</v>
      </c>
      <c r="B956" t="s">
        <v>348</v>
      </c>
      <c r="C956">
        <v>54</v>
      </c>
      <c r="D956" t="s">
        <v>199</v>
      </c>
      <c r="E956">
        <v>2626</v>
      </c>
      <c r="G956" s="1">
        <v>0.30030000000000001</v>
      </c>
      <c r="I956" s="1">
        <v>0.69969999999999999</v>
      </c>
    </row>
    <row r="957" spans="1:9" x14ac:dyDescent="0.25">
      <c r="A957" t="s">
        <v>198</v>
      </c>
      <c r="B957" t="s">
        <v>349</v>
      </c>
      <c r="C957">
        <v>111</v>
      </c>
      <c r="D957" t="s">
        <v>199</v>
      </c>
      <c r="E957">
        <v>2626</v>
      </c>
      <c r="G957" s="1">
        <v>0.4536</v>
      </c>
      <c r="I957" s="1">
        <v>0.5464</v>
      </c>
    </row>
    <row r="958" spans="1:9" x14ac:dyDescent="0.25">
      <c r="A958" t="s">
        <v>198</v>
      </c>
      <c r="B958" t="s">
        <v>350</v>
      </c>
      <c r="C958">
        <v>192</v>
      </c>
      <c r="D958" t="s">
        <v>199</v>
      </c>
      <c r="E958">
        <v>2626</v>
      </c>
      <c r="F958" s="1">
        <v>3.0999999999999999E-3</v>
      </c>
      <c r="G958" s="1">
        <v>0.2215</v>
      </c>
      <c r="I958" s="1">
        <v>0.77539999999999998</v>
      </c>
    </row>
    <row r="959" spans="1:9" x14ac:dyDescent="0.25">
      <c r="A959" t="s">
        <v>198</v>
      </c>
      <c r="B959" t="s">
        <v>350</v>
      </c>
      <c r="C959">
        <v>78</v>
      </c>
      <c r="D959" t="s">
        <v>200</v>
      </c>
      <c r="E959">
        <v>2626</v>
      </c>
      <c r="F959" s="1">
        <v>1.2699999999999999E-2</v>
      </c>
      <c r="G959" s="1">
        <v>8.0600000000000005E-2</v>
      </c>
      <c r="I959" s="1">
        <v>0.90669999999999995</v>
      </c>
    </row>
    <row r="960" spans="1:9" x14ac:dyDescent="0.25">
      <c r="A960" t="s">
        <v>198</v>
      </c>
      <c r="B960" t="s">
        <v>348</v>
      </c>
      <c r="C960">
        <v>239</v>
      </c>
      <c r="D960" t="s">
        <v>200</v>
      </c>
      <c r="E960">
        <v>2626</v>
      </c>
      <c r="F960" s="1">
        <v>7.4000000000000003E-3</v>
      </c>
      <c r="G960" s="1">
        <v>0.3009</v>
      </c>
      <c r="H960" s="1">
        <v>5.4000000000000003E-3</v>
      </c>
      <c r="I960" s="1">
        <v>0.68630000000000002</v>
      </c>
    </row>
    <row r="961" spans="1:9" x14ac:dyDescent="0.25">
      <c r="A961" t="s">
        <v>198</v>
      </c>
      <c r="B961" t="s">
        <v>349</v>
      </c>
      <c r="C961">
        <v>62</v>
      </c>
      <c r="D961" t="s">
        <v>200</v>
      </c>
      <c r="E961">
        <v>2626</v>
      </c>
      <c r="F961" s="1">
        <v>1.6999999999999999E-3</v>
      </c>
      <c r="G961" s="1">
        <v>0.46810000000000002</v>
      </c>
      <c r="H961" s="1">
        <v>1.38E-2</v>
      </c>
      <c r="I961" s="1">
        <v>0.51639999999999997</v>
      </c>
    </row>
    <row r="962" spans="1:9" x14ac:dyDescent="0.25">
      <c r="A962" t="s">
        <v>198</v>
      </c>
      <c r="B962" t="s">
        <v>349</v>
      </c>
      <c r="C962">
        <v>125</v>
      </c>
      <c r="D962" t="s">
        <v>201</v>
      </c>
      <c r="E962">
        <v>2626</v>
      </c>
      <c r="G962" s="1">
        <v>0.19439999999999999</v>
      </c>
      <c r="I962" s="1">
        <v>0.80559999999999998</v>
      </c>
    </row>
    <row r="963" spans="1:9" x14ac:dyDescent="0.25">
      <c r="A963" t="s">
        <v>198</v>
      </c>
      <c r="B963" t="s">
        <v>350</v>
      </c>
      <c r="C963">
        <v>63</v>
      </c>
      <c r="D963" t="s">
        <v>201</v>
      </c>
      <c r="E963">
        <v>2626</v>
      </c>
      <c r="G963" s="1">
        <v>0.10979999999999999</v>
      </c>
      <c r="I963" s="1">
        <v>0.89019999999999999</v>
      </c>
    </row>
    <row r="964" spans="1:9" x14ac:dyDescent="0.25">
      <c r="A964" t="s">
        <v>198</v>
      </c>
      <c r="B964" t="s">
        <v>348</v>
      </c>
      <c r="C964">
        <v>62</v>
      </c>
      <c r="D964" t="s">
        <v>201</v>
      </c>
      <c r="E964">
        <v>2626</v>
      </c>
      <c r="G964" s="1">
        <v>0.33510000000000001</v>
      </c>
      <c r="I964" s="1">
        <v>0.66490000000000005</v>
      </c>
    </row>
    <row r="965" spans="1:9" x14ac:dyDescent="0.25">
      <c r="A965" t="s">
        <v>198</v>
      </c>
      <c r="B965" t="s">
        <v>348</v>
      </c>
      <c r="C965">
        <v>96</v>
      </c>
      <c r="D965" t="s">
        <v>202</v>
      </c>
      <c r="E965">
        <v>2626</v>
      </c>
      <c r="G965" s="1">
        <v>0.309</v>
      </c>
      <c r="I965" s="1">
        <v>0.69099999999999995</v>
      </c>
    </row>
    <row r="966" spans="1:9" x14ac:dyDescent="0.25">
      <c r="A966" t="s">
        <v>203</v>
      </c>
      <c r="B966" t="s">
        <v>349</v>
      </c>
      <c r="C966">
        <v>171</v>
      </c>
      <c r="D966" t="s">
        <v>199</v>
      </c>
      <c r="E966">
        <v>2626</v>
      </c>
      <c r="G966" s="1">
        <v>0.50370000000000004</v>
      </c>
      <c r="H966" s="1">
        <v>1.6000000000000001E-3</v>
      </c>
      <c r="I966" s="1">
        <v>0.49469999999999997</v>
      </c>
    </row>
    <row r="967" spans="1:9" x14ac:dyDescent="0.25">
      <c r="A967" t="s">
        <v>203</v>
      </c>
      <c r="B967" t="s">
        <v>348</v>
      </c>
      <c r="C967">
        <v>42</v>
      </c>
      <c r="D967" t="s">
        <v>199</v>
      </c>
      <c r="E967">
        <v>2626</v>
      </c>
      <c r="G967" s="1">
        <v>0.3412</v>
      </c>
      <c r="I967" s="1">
        <v>0.65880000000000005</v>
      </c>
    </row>
    <row r="968" spans="1:9" x14ac:dyDescent="0.25">
      <c r="A968" t="s">
        <v>203</v>
      </c>
      <c r="B968" t="s">
        <v>350</v>
      </c>
      <c r="C968">
        <v>307</v>
      </c>
      <c r="D968" t="s">
        <v>199</v>
      </c>
      <c r="E968">
        <v>2626</v>
      </c>
      <c r="G968" s="1">
        <v>0.22600000000000001</v>
      </c>
      <c r="H968" s="1">
        <v>1E-3</v>
      </c>
      <c r="I968" s="1">
        <v>0.77300000000000002</v>
      </c>
    </row>
    <row r="969" spans="1:9" x14ac:dyDescent="0.25">
      <c r="A969" t="s">
        <v>203</v>
      </c>
      <c r="B969" t="s">
        <v>348</v>
      </c>
      <c r="C969">
        <v>299</v>
      </c>
      <c r="D969" t="s">
        <v>200</v>
      </c>
      <c r="E969">
        <v>2626</v>
      </c>
      <c r="F969" s="1">
        <v>8.9999999999999998E-4</v>
      </c>
      <c r="G969" s="1">
        <v>0.49740000000000001</v>
      </c>
      <c r="I969" s="1">
        <v>0.50160000000000005</v>
      </c>
    </row>
    <row r="970" spans="1:9" x14ac:dyDescent="0.25">
      <c r="A970" t="s">
        <v>203</v>
      </c>
      <c r="B970" t="s">
        <v>349</v>
      </c>
      <c r="C970">
        <v>108</v>
      </c>
      <c r="D970" t="s">
        <v>200</v>
      </c>
      <c r="E970">
        <v>2626</v>
      </c>
      <c r="F970" s="1">
        <v>1.5299999999999999E-2</v>
      </c>
      <c r="G970" s="1">
        <v>0.40129999999999999</v>
      </c>
      <c r="I970" s="1">
        <v>0.58350000000000002</v>
      </c>
    </row>
    <row r="971" spans="1:9" x14ac:dyDescent="0.25">
      <c r="A971" t="s">
        <v>203</v>
      </c>
      <c r="B971" t="s">
        <v>350</v>
      </c>
      <c r="C971">
        <v>94</v>
      </c>
      <c r="D971" t="s">
        <v>200</v>
      </c>
      <c r="E971">
        <v>2626</v>
      </c>
      <c r="F971" s="1">
        <v>3.3999999999999998E-3</v>
      </c>
      <c r="G971" s="1">
        <v>0.19600000000000001</v>
      </c>
      <c r="I971" s="1">
        <v>0.80059999999999998</v>
      </c>
    </row>
    <row r="972" spans="1:9" x14ac:dyDescent="0.25">
      <c r="A972" t="s">
        <v>203</v>
      </c>
      <c r="B972" t="s">
        <v>348</v>
      </c>
      <c r="C972">
        <v>62</v>
      </c>
      <c r="D972" t="s">
        <v>201</v>
      </c>
      <c r="E972">
        <v>2626</v>
      </c>
      <c r="G972" s="1">
        <v>0.26960000000000001</v>
      </c>
      <c r="I972" s="1">
        <v>0.73040000000000005</v>
      </c>
    </row>
    <row r="973" spans="1:9" x14ac:dyDescent="0.25">
      <c r="A973" t="s">
        <v>203</v>
      </c>
      <c r="B973" t="s">
        <v>349</v>
      </c>
      <c r="C973">
        <v>146</v>
      </c>
      <c r="D973" t="s">
        <v>201</v>
      </c>
      <c r="E973">
        <v>2626</v>
      </c>
      <c r="F973" s="1">
        <v>2.7699999999999999E-2</v>
      </c>
      <c r="G973" s="1">
        <v>0.3291</v>
      </c>
      <c r="I973" s="1">
        <v>0.64319999999999999</v>
      </c>
    </row>
    <row r="974" spans="1:9" x14ac:dyDescent="0.25">
      <c r="A974" t="s">
        <v>203</v>
      </c>
      <c r="B974" t="s">
        <v>350</v>
      </c>
      <c r="C974">
        <v>104</v>
      </c>
      <c r="D974" t="s">
        <v>201</v>
      </c>
      <c r="E974">
        <v>2626</v>
      </c>
      <c r="F974" s="1">
        <v>1.6299999999999999E-2</v>
      </c>
      <c r="G974" s="1">
        <v>0.15679999999999999</v>
      </c>
      <c r="I974" s="1">
        <v>0.82689999999999997</v>
      </c>
    </row>
    <row r="975" spans="1:9" x14ac:dyDescent="0.25">
      <c r="A975" t="s">
        <v>203</v>
      </c>
      <c r="B975" t="s">
        <v>348</v>
      </c>
      <c r="C975">
        <v>90</v>
      </c>
      <c r="D975" t="s">
        <v>202</v>
      </c>
      <c r="E975">
        <v>2626</v>
      </c>
      <c r="G975" s="1">
        <v>0.51439999999999997</v>
      </c>
      <c r="I975" s="1">
        <v>0.48559999999999998</v>
      </c>
    </row>
    <row r="976" spans="1:9" x14ac:dyDescent="0.25">
      <c r="A976" t="s">
        <v>204</v>
      </c>
      <c r="B976" t="s">
        <v>204</v>
      </c>
      <c r="C976">
        <v>2626</v>
      </c>
      <c r="D976" t="s">
        <v>204</v>
      </c>
      <c r="E976">
        <v>2626</v>
      </c>
      <c r="F976" s="1">
        <v>3.0000000000000001E-3</v>
      </c>
      <c r="G976" s="1">
        <v>0.36630000000000001</v>
      </c>
      <c r="H976" s="1">
        <v>8.0000000000000004E-4</v>
      </c>
      <c r="I976" s="1">
        <v>0.62980000000000003</v>
      </c>
    </row>
    <row r="978" spans="1:12" x14ac:dyDescent="0.25">
      <c r="A978" t="s">
        <v>357</v>
      </c>
    </row>
    <row r="979" spans="1:12" x14ac:dyDescent="0.25">
      <c r="A979" t="s">
        <v>190</v>
      </c>
      <c r="B979" t="s">
        <v>195</v>
      </c>
      <c r="C979" t="s">
        <v>189</v>
      </c>
      <c r="D979" t="s">
        <v>196</v>
      </c>
      <c r="E979" t="s">
        <v>220</v>
      </c>
      <c r="F979" t="s">
        <v>271</v>
      </c>
      <c r="G979" t="s">
        <v>215</v>
      </c>
      <c r="H979" t="s">
        <v>358</v>
      </c>
      <c r="I979" t="s">
        <v>359</v>
      </c>
      <c r="J979" t="s">
        <v>360</v>
      </c>
      <c r="K979" t="s">
        <v>361</v>
      </c>
    </row>
    <row r="980" spans="1:12" x14ac:dyDescent="0.25">
      <c r="A980" t="s">
        <v>198</v>
      </c>
      <c r="B980">
        <v>82</v>
      </c>
      <c r="C980" t="s">
        <v>197</v>
      </c>
      <c r="D980">
        <v>2633</v>
      </c>
      <c r="F980" s="1">
        <v>0.76519999999999999</v>
      </c>
      <c r="H980" s="1">
        <v>4.5999999999999999E-2</v>
      </c>
      <c r="I980" s="1">
        <v>3.1800000000000002E-2</v>
      </c>
      <c r="J980" s="1">
        <v>0.1026</v>
      </c>
      <c r="K980" s="1">
        <v>7.51E-2</v>
      </c>
    </row>
    <row r="981" spans="1:12" x14ac:dyDescent="0.25">
      <c r="A981" t="s">
        <v>198</v>
      </c>
      <c r="B981">
        <v>368</v>
      </c>
      <c r="C981" t="s">
        <v>199</v>
      </c>
      <c r="D981">
        <v>2633</v>
      </c>
      <c r="F981" s="1">
        <v>0.77190000000000003</v>
      </c>
      <c r="H981" s="1">
        <v>5.3E-3</v>
      </c>
      <c r="I981" s="1">
        <v>3.3700000000000001E-2</v>
      </c>
      <c r="J981" s="1">
        <v>9.0700000000000003E-2</v>
      </c>
      <c r="K981" s="1">
        <v>0.1024</v>
      </c>
    </row>
    <row r="982" spans="1:12" x14ac:dyDescent="0.25">
      <c r="A982" t="s">
        <v>198</v>
      </c>
      <c r="B982">
        <v>387</v>
      </c>
      <c r="C982" t="s">
        <v>200</v>
      </c>
      <c r="D982">
        <v>2633</v>
      </c>
      <c r="E982" s="1">
        <v>4.3E-3</v>
      </c>
      <c r="F982" s="1">
        <v>0.82630000000000003</v>
      </c>
      <c r="H982" s="1">
        <v>2.41E-2</v>
      </c>
      <c r="I982" s="1">
        <v>1.9E-2</v>
      </c>
      <c r="J982" s="1">
        <v>4.8300000000000003E-2</v>
      </c>
      <c r="K982" s="1">
        <v>8.3599999999999994E-2</v>
      </c>
    </row>
    <row r="983" spans="1:12" x14ac:dyDescent="0.25">
      <c r="A983" t="s">
        <v>198</v>
      </c>
      <c r="B983">
        <v>256</v>
      </c>
      <c r="C983" t="s">
        <v>201</v>
      </c>
      <c r="D983">
        <v>2633</v>
      </c>
      <c r="F983" s="1">
        <v>0.79659999999999997</v>
      </c>
      <c r="G983" s="1">
        <v>2.9999999999999997E-4</v>
      </c>
      <c r="H983" s="1">
        <v>5.0200000000000002E-2</v>
      </c>
      <c r="I983" s="1">
        <v>2.06E-2</v>
      </c>
      <c r="J983" s="1">
        <v>5.6000000000000001E-2</v>
      </c>
      <c r="K983" s="1">
        <v>7.9799999999999996E-2</v>
      </c>
    </row>
    <row r="984" spans="1:12" x14ac:dyDescent="0.25">
      <c r="A984" t="s">
        <v>198</v>
      </c>
      <c r="B984">
        <v>96</v>
      </c>
      <c r="C984" t="s">
        <v>202</v>
      </c>
      <c r="D984">
        <v>2633</v>
      </c>
      <c r="F984" s="1">
        <v>0.74409999999999998</v>
      </c>
      <c r="H984" s="1">
        <v>4.3799999999999999E-2</v>
      </c>
      <c r="I984" s="1">
        <v>4.5900000000000003E-2</v>
      </c>
      <c r="J984" s="1">
        <v>7.0800000000000002E-2</v>
      </c>
      <c r="K984" s="1">
        <v>0.14019999999999999</v>
      </c>
    </row>
    <row r="985" spans="1:12" x14ac:dyDescent="0.25">
      <c r="A985" t="s">
        <v>203</v>
      </c>
      <c r="B985">
        <v>530</v>
      </c>
      <c r="C985" t="s">
        <v>199</v>
      </c>
      <c r="D985">
        <v>2633</v>
      </c>
      <c r="E985" s="1">
        <v>1.1000000000000001E-3</v>
      </c>
      <c r="F985" s="1">
        <v>0.87050000000000005</v>
      </c>
      <c r="H985" s="1">
        <v>5.5999999999999999E-3</v>
      </c>
      <c r="I985" s="1">
        <v>1.26E-2</v>
      </c>
      <c r="J985" s="1">
        <v>6.0400000000000002E-2</v>
      </c>
      <c r="K985" s="1">
        <v>5.2699999999999997E-2</v>
      </c>
    </row>
    <row r="986" spans="1:12" x14ac:dyDescent="0.25">
      <c r="A986" t="s">
        <v>203</v>
      </c>
      <c r="B986">
        <v>503</v>
      </c>
      <c r="C986" t="s">
        <v>200</v>
      </c>
      <c r="D986">
        <v>2633</v>
      </c>
      <c r="E986" s="1">
        <v>9.5999999999999992E-3</v>
      </c>
      <c r="F986" s="1">
        <v>0.86339999999999995</v>
      </c>
      <c r="H986" s="1">
        <v>4.58E-2</v>
      </c>
      <c r="I986" s="1">
        <v>6.6E-3</v>
      </c>
      <c r="J986" s="1">
        <v>3.9399999999999998E-2</v>
      </c>
      <c r="K986" s="1">
        <v>3.6900000000000002E-2</v>
      </c>
    </row>
    <row r="987" spans="1:12" x14ac:dyDescent="0.25">
      <c r="A987" t="s">
        <v>203</v>
      </c>
      <c r="B987">
        <v>321</v>
      </c>
      <c r="C987" t="s">
        <v>201</v>
      </c>
      <c r="D987">
        <v>2633</v>
      </c>
      <c r="F987" s="1">
        <v>0.86480000000000001</v>
      </c>
      <c r="H987" s="1">
        <v>1.4E-2</v>
      </c>
      <c r="I987" s="1">
        <v>1.5800000000000002E-2</v>
      </c>
      <c r="J987" s="1">
        <v>6.8500000000000005E-2</v>
      </c>
      <c r="K987" s="1">
        <v>4.07E-2</v>
      </c>
    </row>
    <row r="988" spans="1:12" x14ac:dyDescent="0.25">
      <c r="A988" t="s">
        <v>203</v>
      </c>
      <c r="B988">
        <v>90</v>
      </c>
      <c r="C988" t="s">
        <v>202</v>
      </c>
      <c r="D988">
        <v>2633</v>
      </c>
      <c r="F988" s="1">
        <v>0.81789999999999996</v>
      </c>
      <c r="G988" s="1">
        <v>4.8999999999999998E-3</v>
      </c>
      <c r="H988" s="1">
        <v>1.9900000000000001E-2</v>
      </c>
      <c r="I988" s="1">
        <v>2.3699999999999999E-2</v>
      </c>
      <c r="J988" s="1">
        <v>2.1100000000000001E-2</v>
      </c>
      <c r="K988" s="1">
        <v>0.1174</v>
      </c>
    </row>
    <row r="989" spans="1:12" x14ac:dyDescent="0.25">
      <c r="A989" t="s">
        <v>204</v>
      </c>
      <c r="B989">
        <v>2633</v>
      </c>
      <c r="C989" t="s">
        <v>204</v>
      </c>
      <c r="D989">
        <v>2633</v>
      </c>
      <c r="E989" s="1">
        <v>3.5999999999999999E-3</v>
      </c>
      <c r="F989" s="1">
        <v>0.82509999999999994</v>
      </c>
      <c r="G989" s="1">
        <v>2.9999999999999997E-4</v>
      </c>
      <c r="H989" s="1">
        <v>2.9700000000000001E-2</v>
      </c>
      <c r="I989" s="1">
        <v>1.9699999999999999E-2</v>
      </c>
      <c r="J989" s="1">
        <v>5.8200000000000002E-2</v>
      </c>
      <c r="K989" s="1">
        <v>7.1599999999999997E-2</v>
      </c>
    </row>
    <row r="991" spans="1:12" x14ac:dyDescent="0.25">
      <c r="A991" t="s">
        <v>362</v>
      </c>
    </row>
    <row r="992" spans="1:12" x14ac:dyDescent="0.25">
      <c r="A992" t="s">
        <v>190</v>
      </c>
      <c r="B992" t="s">
        <v>206</v>
      </c>
      <c r="C992" t="s">
        <v>195</v>
      </c>
      <c r="D992" t="s">
        <v>189</v>
      </c>
      <c r="E992" t="s">
        <v>196</v>
      </c>
      <c r="F992" t="s">
        <v>220</v>
      </c>
      <c r="G992" t="s">
        <v>271</v>
      </c>
      <c r="H992" t="s">
        <v>215</v>
      </c>
      <c r="I992" t="s">
        <v>358</v>
      </c>
      <c r="J992" t="s">
        <v>359</v>
      </c>
      <c r="K992" t="s">
        <v>360</v>
      </c>
      <c r="L992" t="s">
        <v>361</v>
      </c>
    </row>
    <row r="993" spans="1:12" x14ac:dyDescent="0.25">
      <c r="A993" t="s">
        <v>198</v>
      </c>
      <c r="B993" t="s">
        <v>228</v>
      </c>
      <c r="C993">
        <v>33</v>
      </c>
      <c r="D993" t="s">
        <v>197</v>
      </c>
      <c r="E993">
        <v>2633</v>
      </c>
      <c r="G993" s="1">
        <v>0.79420000000000002</v>
      </c>
      <c r="I993" s="1">
        <v>2.5600000000000001E-2</v>
      </c>
      <c r="K993" s="1">
        <v>9.7299999999999998E-2</v>
      </c>
      <c r="L993" s="1">
        <v>8.2900000000000001E-2</v>
      </c>
    </row>
    <row r="994" spans="1:12" x14ac:dyDescent="0.25">
      <c r="A994" t="s">
        <v>198</v>
      </c>
      <c r="B994" t="s">
        <v>229</v>
      </c>
      <c r="C994">
        <v>49</v>
      </c>
      <c r="D994" t="s">
        <v>197</v>
      </c>
      <c r="E994">
        <v>2633</v>
      </c>
      <c r="G994" s="1">
        <v>0.74309999999999998</v>
      </c>
      <c r="I994" s="1">
        <v>6.1600000000000002E-2</v>
      </c>
      <c r="J994" s="1">
        <v>5.6099999999999997E-2</v>
      </c>
      <c r="K994" s="1">
        <v>0.1067</v>
      </c>
      <c r="L994" s="1">
        <v>6.9199999999999998E-2</v>
      </c>
    </row>
    <row r="995" spans="1:12" x14ac:dyDescent="0.25">
      <c r="A995" t="s">
        <v>198</v>
      </c>
      <c r="B995" t="s">
        <v>228</v>
      </c>
      <c r="C995">
        <v>145</v>
      </c>
      <c r="D995" t="s">
        <v>199</v>
      </c>
      <c r="E995">
        <v>2633</v>
      </c>
      <c r="G995" s="1">
        <v>0.81140000000000001</v>
      </c>
      <c r="I995" s="1">
        <v>1.29E-2</v>
      </c>
      <c r="J995" s="1">
        <v>2.4199999999999999E-2</v>
      </c>
      <c r="K995" s="1">
        <v>0.12540000000000001</v>
      </c>
      <c r="L995" s="1">
        <v>4.1599999999999998E-2</v>
      </c>
    </row>
    <row r="996" spans="1:12" x14ac:dyDescent="0.25">
      <c r="A996" t="s">
        <v>198</v>
      </c>
      <c r="B996" t="s">
        <v>229</v>
      </c>
      <c r="C996">
        <v>213</v>
      </c>
      <c r="D996" t="s">
        <v>199</v>
      </c>
      <c r="E996">
        <v>2633</v>
      </c>
      <c r="G996" s="1">
        <v>0.76029999999999998</v>
      </c>
      <c r="I996" s="1">
        <v>2.7000000000000001E-3</v>
      </c>
      <c r="J996" s="1">
        <v>3.73E-2</v>
      </c>
      <c r="K996" s="1">
        <v>7.8299999999999995E-2</v>
      </c>
      <c r="L996" s="1">
        <v>0.12130000000000001</v>
      </c>
    </row>
    <row r="997" spans="1:12" x14ac:dyDescent="0.25">
      <c r="A997" t="s">
        <v>198</v>
      </c>
      <c r="B997" t="s">
        <v>229</v>
      </c>
      <c r="C997">
        <v>270</v>
      </c>
      <c r="D997" t="s">
        <v>200</v>
      </c>
      <c r="E997">
        <v>2633</v>
      </c>
      <c r="G997" s="1">
        <v>0.86560000000000004</v>
      </c>
      <c r="I997" s="1">
        <v>1.5800000000000002E-2</v>
      </c>
      <c r="J997" s="1">
        <v>1.5599999999999999E-2</v>
      </c>
      <c r="K997" s="1">
        <v>3.8800000000000001E-2</v>
      </c>
      <c r="L997" s="1">
        <v>6.7199999999999996E-2</v>
      </c>
    </row>
    <row r="998" spans="1:12" x14ac:dyDescent="0.25">
      <c r="A998" t="s">
        <v>198</v>
      </c>
      <c r="B998" t="s">
        <v>228</v>
      </c>
      <c r="C998">
        <v>112</v>
      </c>
      <c r="D998" t="s">
        <v>200</v>
      </c>
      <c r="E998">
        <v>2633</v>
      </c>
      <c r="F998" s="1">
        <v>1.84E-2</v>
      </c>
      <c r="G998" s="1">
        <v>0.70179999999999998</v>
      </c>
      <c r="I998" s="1">
        <v>5.1999999999999998E-2</v>
      </c>
      <c r="J998" s="1">
        <v>3.09E-2</v>
      </c>
      <c r="K998" s="1">
        <v>7.0900000000000005E-2</v>
      </c>
      <c r="L998" s="1">
        <v>0.14030000000000001</v>
      </c>
    </row>
    <row r="999" spans="1:12" x14ac:dyDescent="0.25">
      <c r="A999" t="s">
        <v>198</v>
      </c>
      <c r="B999" t="s">
        <v>228</v>
      </c>
      <c r="C999">
        <v>95</v>
      </c>
      <c r="D999" t="s">
        <v>201</v>
      </c>
      <c r="E999">
        <v>2633</v>
      </c>
      <c r="G999" s="1">
        <v>0.88529999999999998</v>
      </c>
      <c r="H999" s="1">
        <v>1.5E-3</v>
      </c>
      <c r="I999" s="1">
        <v>1.66E-2</v>
      </c>
      <c r="J999" s="1">
        <v>1.66E-2</v>
      </c>
      <c r="K999" s="1">
        <v>5.1499999999999997E-2</v>
      </c>
      <c r="L999" s="1">
        <v>2.86E-2</v>
      </c>
    </row>
    <row r="1000" spans="1:12" x14ac:dyDescent="0.25">
      <c r="A1000" t="s">
        <v>198</v>
      </c>
      <c r="B1000" t="s">
        <v>229</v>
      </c>
      <c r="C1000">
        <v>155</v>
      </c>
      <c r="D1000" t="s">
        <v>201</v>
      </c>
      <c r="E1000">
        <v>2633</v>
      </c>
      <c r="G1000" s="1">
        <v>0.77</v>
      </c>
      <c r="I1000" s="1">
        <v>6.0100000000000001E-2</v>
      </c>
      <c r="J1000" s="1">
        <v>2.1999999999999999E-2</v>
      </c>
      <c r="K1000" s="1">
        <v>5.7700000000000001E-2</v>
      </c>
      <c r="L1000" s="1">
        <v>9.4899999999999998E-2</v>
      </c>
    </row>
    <row r="1001" spans="1:12" s="29" customFormat="1" x14ac:dyDescent="0.25">
      <c r="A1001" s="29" t="s">
        <v>198</v>
      </c>
      <c r="B1001" s="29" t="s">
        <v>228</v>
      </c>
      <c r="C1001" s="29">
        <v>28</v>
      </c>
      <c r="D1001" s="29" t="s">
        <v>202</v>
      </c>
      <c r="E1001" s="29">
        <v>2633</v>
      </c>
      <c r="G1001" s="30">
        <v>0.82920000000000005</v>
      </c>
      <c r="I1001" s="30">
        <v>1.0699999999999999E-2</v>
      </c>
      <c r="J1001" s="30">
        <v>4.0099999999999997E-2</v>
      </c>
      <c r="K1001" s="30">
        <v>0.11550000000000001</v>
      </c>
      <c r="L1001" s="30">
        <v>8.4699999999999998E-2</v>
      </c>
    </row>
    <row r="1002" spans="1:12" x14ac:dyDescent="0.25">
      <c r="A1002" t="s">
        <v>198</v>
      </c>
      <c r="B1002" t="s">
        <v>229</v>
      </c>
      <c r="C1002">
        <v>68</v>
      </c>
      <c r="D1002" t="s">
        <v>202</v>
      </c>
      <c r="E1002">
        <v>2633</v>
      </c>
      <c r="G1002" s="1">
        <v>0.7177</v>
      </c>
      <c r="I1002" s="1">
        <v>5.3999999999999999E-2</v>
      </c>
      <c r="J1002" s="1">
        <v>4.7600000000000003E-2</v>
      </c>
      <c r="K1002" s="1">
        <v>5.6899999999999999E-2</v>
      </c>
      <c r="L1002" s="1">
        <v>0.1573</v>
      </c>
    </row>
    <row r="1003" spans="1:12" x14ac:dyDescent="0.25">
      <c r="A1003" t="s">
        <v>203</v>
      </c>
      <c r="B1003" t="s">
        <v>229</v>
      </c>
      <c r="C1003">
        <v>370</v>
      </c>
      <c r="D1003" t="s">
        <v>199</v>
      </c>
      <c r="E1003">
        <v>2633</v>
      </c>
      <c r="F1003" s="1">
        <v>1.1999999999999999E-3</v>
      </c>
      <c r="G1003" s="1">
        <v>0.88080000000000003</v>
      </c>
      <c r="I1003" s="1">
        <v>4.3E-3</v>
      </c>
      <c r="J1003" s="1">
        <v>1.29E-2</v>
      </c>
      <c r="K1003" s="1">
        <v>5.4699999999999999E-2</v>
      </c>
      <c r="L1003" s="1">
        <v>4.9299999999999997E-2</v>
      </c>
    </row>
    <row r="1004" spans="1:12" x14ac:dyDescent="0.25">
      <c r="A1004" t="s">
        <v>203</v>
      </c>
      <c r="B1004" t="s">
        <v>228</v>
      </c>
      <c r="C1004">
        <v>150</v>
      </c>
      <c r="D1004" t="s">
        <v>199</v>
      </c>
      <c r="E1004">
        <v>2633</v>
      </c>
      <c r="G1004" s="1">
        <v>0.78820000000000001</v>
      </c>
      <c r="I1004" s="1">
        <v>1.6400000000000001E-2</v>
      </c>
      <c r="J1004" s="1">
        <v>1.11E-2</v>
      </c>
      <c r="K1004" s="1">
        <v>0.1113</v>
      </c>
      <c r="L1004" s="1">
        <v>7.2999999999999995E-2</v>
      </c>
    </row>
    <row r="1005" spans="1:12" x14ac:dyDescent="0.25">
      <c r="A1005" t="s">
        <v>203</v>
      </c>
      <c r="B1005" t="s">
        <v>229</v>
      </c>
      <c r="C1005">
        <v>347</v>
      </c>
      <c r="D1005" t="s">
        <v>200</v>
      </c>
      <c r="E1005">
        <v>2633</v>
      </c>
      <c r="F1005" s="1">
        <v>1.2E-2</v>
      </c>
      <c r="G1005" s="1">
        <v>0.87260000000000004</v>
      </c>
      <c r="I1005" s="1">
        <v>4.58E-2</v>
      </c>
      <c r="J1005" s="1">
        <v>7.0000000000000001E-3</v>
      </c>
      <c r="K1005" s="1">
        <v>3.3300000000000003E-2</v>
      </c>
      <c r="L1005" s="1">
        <v>3.1399999999999997E-2</v>
      </c>
    </row>
    <row r="1006" spans="1:12" x14ac:dyDescent="0.25">
      <c r="A1006" t="s">
        <v>203</v>
      </c>
      <c r="B1006" t="s">
        <v>228</v>
      </c>
      <c r="C1006">
        <v>155</v>
      </c>
      <c r="D1006" t="s">
        <v>200</v>
      </c>
      <c r="E1006">
        <v>2633</v>
      </c>
      <c r="G1006" s="1">
        <v>0.82489999999999997</v>
      </c>
      <c r="I1006" s="1">
        <v>4.5900000000000003E-2</v>
      </c>
      <c r="J1006" s="1">
        <v>4.7000000000000002E-3</v>
      </c>
      <c r="K1006" s="1">
        <v>6.4600000000000005E-2</v>
      </c>
      <c r="L1006" s="1">
        <v>5.9799999999999999E-2</v>
      </c>
    </row>
    <row r="1007" spans="1:12" x14ac:dyDescent="0.25">
      <c r="A1007" t="s">
        <v>203</v>
      </c>
      <c r="B1007" t="s">
        <v>229</v>
      </c>
      <c r="C1007">
        <v>137</v>
      </c>
      <c r="D1007" t="s">
        <v>201</v>
      </c>
      <c r="E1007">
        <v>2633</v>
      </c>
      <c r="G1007" s="1">
        <v>0.92989999999999995</v>
      </c>
      <c r="I1007" s="1">
        <v>3.0999999999999999E-3</v>
      </c>
      <c r="J1007" s="1">
        <v>1.2500000000000001E-2</v>
      </c>
      <c r="K1007" s="1">
        <v>1.3899999999999999E-2</v>
      </c>
      <c r="L1007" s="1">
        <v>4.2200000000000001E-2</v>
      </c>
    </row>
    <row r="1008" spans="1:12" x14ac:dyDescent="0.25">
      <c r="A1008" t="s">
        <v>203</v>
      </c>
      <c r="B1008" t="s">
        <v>228</v>
      </c>
      <c r="C1008">
        <v>177</v>
      </c>
      <c r="D1008" t="s">
        <v>201</v>
      </c>
      <c r="E1008">
        <v>2633</v>
      </c>
      <c r="G1008" s="1">
        <v>0.65739999999999998</v>
      </c>
      <c r="I1008" s="1">
        <v>4.8899999999999999E-2</v>
      </c>
      <c r="J1008" s="1">
        <v>2.64E-2</v>
      </c>
      <c r="K1008" s="1">
        <v>0.2429</v>
      </c>
      <c r="L1008" s="1">
        <v>3.5400000000000001E-2</v>
      </c>
    </row>
    <row r="1009" spans="1:12" x14ac:dyDescent="0.25">
      <c r="A1009" t="s">
        <v>203</v>
      </c>
      <c r="B1009" t="s">
        <v>228</v>
      </c>
      <c r="C1009">
        <v>34</v>
      </c>
      <c r="D1009" t="s">
        <v>202</v>
      </c>
      <c r="E1009">
        <v>2633</v>
      </c>
      <c r="G1009" s="1">
        <v>0.77680000000000005</v>
      </c>
      <c r="I1009" s="1">
        <v>1.32E-2</v>
      </c>
      <c r="J1009" s="1">
        <v>3.6200000000000003E-2</v>
      </c>
      <c r="K1009" s="1">
        <v>5.3699999999999998E-2</v>
      </c>
      <c r="L1009" s="1">
        <v>0.1376</v>
      </c>
    </row>
    <row r="1010" spans="1:12" x14ac:dyDescent="0.25">
      <c r="A1010" t="s">
        <v>203</v>
      </c>
      <c r="B1010" t="s">
        <v>229</v>
      </c>
      <c r="C1010">
        <v>56</v>
      </c>
      <c r="D1010" t="s">
        <v>202</v>
      </c>
      <c r="E1010">
        <v>2633</v>
      </c>
      <c r="G1010" s="1">
        <v>0.83409999999999995</v>
      </c>
      <c r="H1010" s="1">
        <v>6.8999999999999999E-3</v>
      </c>
      <c r="I1010" s="1">
        <v>2.2499999999999999E-2</v>
      </c>
      <c r="J1010" s="1">
        <v>1.8800000000000001E-2</v>
      </c>
      <c r="K1010" s="1">
        <v>8.3000000000000001E-3</v>
      </c>
      <c r="L1010" s="1">
        <v>0.1094</v>
      </c>
    </row>
    <row r="1011" spans="1:12" x14ac:dyDescent="0.25">
      <c r="A1011" t="s">
        <v>204</v>
      </c>
      <c r="B1011" t="s">
        <v>204</v>
      </c>
      <c r="C1011">
        <v>2633</v>
      </c>
      <c r="D1011" t="s">
        <v>204</v>
      </c>
      <c r="E1011">
        <v>2633</v>
      </c>
      <c r="F1011" s="1">
        <v>3.5999999999999999E-3</v>
      </c>
      <c r="G1011" s="1">
        <v>0.82509999999999994</v>
      </c>
      <c r="H1011" s="1">
        <v>2.9999999999999997E-4</v>
      </c>
      <c r="I1011" s="1">
        <v>2.9700000000000001E-2</v>
      </c>
      <c r="J1011" s="1">
        <v>1.9699999999999999E-2</v>
      </c>
      <c r="K1011" s="1">
        <v>5.8200000000000002E-2</v>
      </c>
      <c r="L1011" s="1">
        <v>7.1599999999999997E-2</v>
      </c>
    </row>
    <row r="1013" spans="1:12" x14ac:dyDescent="0.25">
      <c r="A1013" t="s">
        <v>363</v>
      </c>
    </row>
    <row r="1014" spans="1:12" x14ac:dyDescent="0.25">
      <c r="A1014" t="s">
        <v>190</v>
      </c>
      <c r="B1014" t="s">
        <v>195</v>
      </c>
      <c r="C1014" t="s">
        <v>189</v>
      </c>
      <c r="D1014" t="s">
        <v>196</v>
      </c>
      <c r="E1014" t="s">
        <v>364</v>
      </c>
      <c r="F1014" t="s">
        <v>365</v>
      </c>
      <c r="G1014" t="s">
        <v>220</v>
      </c>
      <c r="H1014" t="s">
        <v>366</v>
      </c>
      <c r="I1014" t="s">
        <v>215</v>
      </c>
      <c r="J1014" t="s">
        <v>367</v>
      </c>
    </row>
    <row r="1015" spans="1:12" x14ac:dyDescent="0.25">
      <c r="A1015" t="s">
        <v>198</v>
      </c>
      <c r="B1015">
        <v>82</v>
      </c>
      <c r="C1015" t="s">
        <v>197</v>
      </c>
      <c r="D1015">
        <v>2633</v>
      </c>
      <c r="E1015" s="1">
        <v>9.3200000000000005E-2</v>
      </c>
      <c r="H1015" s="1">
        <v>0.56889999999999996</v>
      </c>
      <c r="J1015" s="1">
        <v>0.33789999999999998</v>
      </c>
    </row>
    <row r="1016" spans="1:12" x14ac:dyDescent="0.25">
      <c r="A1016" t="s">
        <v>198</v>
      </c>
      <c r="B1016">
        <v>368</v>
      </c>
      <c r="C1016" t="s">
        <v>199</v>
      </c>
      <c r="D1016">
        <v>2633</v>
      </c>
      <c r="E1016" s="1">
        <v>7.5600000000000001E-2</v>
      </c>
      <c r="F1016" s="1">
        <v>6.9999999999999999E-4</v>
      </c>
      <c r="G1016" s="1">
        <v>8.9999999999999998E-4</v>
      </c>
      <c r="H1016" s="1">
        <v>0.65900000000000003</v>
      </c>
      <c r="J1016" s="1">
        <v>0.26369999999999999</v>
      </c>
    </row>
    <row r="1017" spans="1:12" x14ac:dyDescent="0.25">
      <c r="A1017" t="s">
        <v>198</v>
      </c>
      <c r="B1017">
        <v>387</v>
      </c>
      <c r="C1017" t="s">
        <v>200</v>
      </c>
      <c r="D1017">
        <v>2633</v>
      </c>
      <c r="E1017" s="1">
        <v>8.9899999999999994E-2</v>
      </c>
      <c r="F1017" s="1">
        <v>9.4999999999999998E-3</v>
      </c>
      <c r="G1017" s="1">
        <v>1.2200000000000001E-2</v>
      </c>
      <c r="H1017" s="1">
        <v>0.64410000000000001</v>
      </c>
      <c r="I1017" s="1">
        <v>4.5999999999999999E-3</v>
      </c>
      <c r="J1017" s="1">
        <v>0.2397</v>
      </c>
    </row>
    <row r="1018" spans="1:12" x14ac:dyDescent="0.25">
      <c r="A1018" t="s">
        <v>198</v>
      </c>
      <c r="B1018">
        <v>256</v>
      </c>
      <c r="C1018" t="s">
        <v>201</v>
      </c>
      <c r="D1018">
        <v>2633</v>
      </c>
      <c r="E1018" s="1">
        <v>7.1400000000000005E-2</v>
      </c>
      <c r="F1018" s="1">
        <v>0.01</v>
      </c>
      <c r="H1018" s="1">
        <v>0.68179999999999996</v>
      </c>
      <c r="J1018" s="1">
        <v>0.23680000000000001</v>
      </c>
    </row>
    <row r="1019" spans="1:12" x14ac:dyDescent="0.25">
      <c r="A1019" t="s">
        <v>198</v>
      </c>
      <c r="B1019">
        <v>96</v>
      </c>
      <c r="C1019" t="s">
        <v>202</v>
      </c>
      <c r="D1019">
        <v>2633</v>
      </c>
      <c r="E1019" s="1">
        <v>0.1351</v>
      </c>
      <c r="F1019" s="1">
        <v>2.5000000000000001E-3</v>
      </c>
      <c r="H1019" s="1">
        <v>0.66259999999999997</v>
      </c>
      <c r="J1019" s="1">
        <v>0.19980000000000001</v>
      </c>
    </row>
    <row r="1020" spans="1:12" x14ac:dyDescent="0.25">
      <c r="A1020" t="s">
        <v>203</v>
      </c>
      <c r="B1020">
        <v>530</v>
      </c>
      <c r="C1020" t="s">
        <v>199</v>
      </c>
      <c r="D1020">
        <v>2633</v>
      </c>
      <c r="E1020" s="1">
        <v>4.4699999999999997E-2</v>
      </c>
      <c r="F1020" s="1">
        <v>1.12E-2</v>
      </c>
      <c r="G1020" s="1">
        <v>5.0000000000000001E-4</v>
      </c>
      <c r="H1020" s="1">
        <v>0.75360000000000005</v>
      </c>
      <c r="J1020" s="1">
        <v>0.19</v>
      </c>
    </row>
    <row r="1021" spans="1:12" x14ac:dyDescent="0.25">
      <c r="A1021" t="s">
        <v>203</v>
      </c>
      <c r="B1021">
        <v>503</v>
      </c>
      <c r="C1021" t="s">
        <v>200</v>
      </c>
      <c r="D1021">
        <v>2633</v>
      </c>
      <c r="E1021" s="1">
        <v>6.25E-2</v>
      </c>
      <c r="F1021" s="1">
        <v>5.0000000000000001E-4</v>
      </c>
      <c r="H1021" s="1">
        <v>0.70150000000000001</v>
      </c>
      <c r="J1021" s="1">
        <v>0.2354</v>
      </c>
    </row>
    <row r="1022" spans="1:12" x14ac:dyDescent="0.25">
      <c r="A1022" t="s">
        <v>203</v>
      </c>
      <c r="B1022">
        <v>321</v>
      </c>
      <c r="C1022" t="s">
        <v>201</v>
      </c>
      <c r="D1022">
        <v>2633</v>
      </c>
      <c r="E1022" s="1">
        <v>2.12E-2</v>
      </c>
      <c r="F1022" s="1">
        <v>5.7000000000000002E-3</v>
      </c>
      <c r="G1022" s="1">
        <v>1.6000000000000001E-3</v>
      </c>
      <c r="H1022" s="1">
        <v>0.78280000000000005</v>
      </c>
      <c r="I1022" s="1">
        <v>1.5E-3</v>
      </c>
      <c r="J1022" s="1">
        <v>0.18720000000000001</v>
      </c>
    </row>
    <row r="1023" spans="1:12" x14ac:dyDescent="0.25">
      <c r="A1023" t="s">
        <v>203</v>
      </c>
      <c r="B1023">
        <v>90</v>
      </c>
      <c r="C1023" t="s">
        <v>202</v>
      </c>
      <c r="D1023">
        <v>2633</v>
      </c>
      <c r="E1023" s="1">
        <v>1.5800000000000002E-2</v>
      </c>
      <c r="H1023" s="1">
        <v>0.76849999999999996</v>
      </c>
      <c r="J1023" s="1">
        <v>0.2157</v>
      </c>
    </row>
    <row r="1024" spans="1:12" x14ac:dyDescent="0.25">
      <c r="A1024" t="s">
        <v>204</v>
      </c>
      <c r="B1024">
        <v>2633</v>
      </c>
      <c r="C1024" t="s">
        <v>204</v>
      </c>
      <c r="D1024">
        <v>2633</v>
      </c>
      <c r="E1024" s="1">
        <v>7.0000000000000007E-2</v>
      </c>
      <c r="F1024" s="1">
        <v>3.8999999999999998E-3</v>
      </c>
      <c r="G1024" s="1">
        <v>1.8E-3</v>
      </c>
      <c r="H1024" s="1">
        <v>0.69030000000000002</v>
      </c>
      <c r="I1024" s="1">
        <v>6.9999999999999999E-4</v>
      </c>
      <c r="J1024" s="1">
        <v>0.23330000000000001</v>
      </c>
    </row>
    <row r="1026" spans="1:10" x14ac:dyDescent="0.25">
      <c r="A1026" t="s">
        <v>368</v>
      </c>
    </row>
    <row r="1027" spans="1:10" x14ac:dyDescent="0.25">
      <c r="A1027" t="s">
        <v>190</v>
      </c>
      <c r="B1027" t="s">
        <v>195</v>
      </c>
      <c r="C1027" t="s">
        <v>189</v>
      </c>
      <c r="D1027" t="s">
        <v>196</v>
      </c>
      <c r="E1027" t="s">
        <v>364</v>
      </c>
      <c r="F1027" t="s">
        <v>365</v>
      </c>
      <c r="G1027" t="s">
        <v>220</v>
      </c>
      <c r="H1027" t="s">
        <v>366</v>
      </c>
      <c r="I1027" t="s">
        <v>367</v>
      </c>
    </row>
    <row r="1028" spans="1:10" x14ac:dyDescent="0.25">
      <c r="A1028" t="s">
        <v>198</v>
      </c>
      <c r="B1028">
        <v>82</v>
      </c>
      <c r="C1028" t="s">
        <v>197</v>
      </c>
      <c r="D1028">
        <v>2633</v>
      </c>
      <c r="E1028" s="1">
        <v>2.2100000000000002E-2</v>
      </c>
      <c r="H1028" s="1">
        <v>0.85680000000000001</v>
      </c>
      <c r="I1028" s="1">
        <v>0.1212</v>
      </c>
    </row>
    <row r="1029" spans="1:10" x14ac:dyDescent="0.25">
      <c r="A1029" t="s">
        <v>198</v>
      </c>
      <c r="B1029">
        <v>368</v>
      </c>
      <c r="C1029" t="s">
        <v>199</v>
      </c>
      <c r="D1029">
        <v>2633</v>
      </c>
      <c r="E1029" s="1">
        <v>2.53E-2</v>
      </c>
      <c r="H1029" s="1">
        <v>0.92949999999999999</v>
      </c>
      <c r="I1029" s="1">
        <v>4.5199999999999997E-2</v>
      </c>
    </row>
    <row r="1030" spans="1:10" x14ac:dyDescent="0.25">
      <c r="A1030" t="s">
        <v>198</v>
      </c>
      <c r="B1030">
        <v>387</v>
      </c>
      <c r="C1030" t="s">
        <v>200</v>
      </c>
      <c r="D1030">
        <v>2633</v>
      </c>
      <c r="E1030" s="1">
        <v>4.2700000000000002E-2</v>
      </c>
      <c r="F1030" s="1">
        <v>3.3E-3</v>
      </c>
      <c r="G1030" s="1">
        <v>2.3E-3</v>
      </c>
      <c r="H1030" s="1">
        <v>0.91559999999999997</v>
      </c>
      <c r="I1030" s="1">
        <v>3.6200000000000003E-2</v>
      </c>
    </row>
    <row r="1031" spans="1:10" x14ac:dyDescent="0.25">
      <c r="A1031" t="s">
        <v>198</v>
      </c>
      <c r="B1031">
        <v>256</v>
      </c>
      <c r="C1031" t="s">
        <v>201</v>
      </c>
      <c r="D1031">
        <v>2633</v>
      </c>
      <c r="E1031" s="1">
        <v>7.2400000000000006E-2</v>
      </c>
      <c r="F1031" s="1">
        <v>6.9999999999999999E-4</v>
      </c>
      <c r="H1031" s="1">
        <v>0.84609999999999996</v>
      </c>
      <c r="I1031" s="1">
        <v>8.0799999999999997E-2</v>
      </c>
    </row>
    <row r="1032" spans="1:10" x14ac:dyDescent="0.25">
      <c r="A1032" t="s">
        <v>198</v>
      </c>
      <c r="B1032">
        <v>96</v>
      </c>
      <c r="C1032" t="s">
        <v>202</v>
      </c>
      <c r="D1032">
        <v>2633</v>
      </c>
      <c r="E1032" s="1">
        <v>5.7599999999999998E-2</v>
      </c>
      <c r="H1032" s="1">
        <v>0.8952</v>
      </c>
      <c r="I1032" s="1">
        <v>4.7199999999999999E-2</v>
      </c>
    </row>
    <row r="1033" spans="1:10" x14ac:dyDescent="0.25">
      <c r="A1033" t="s">
        <v>203</v>
      </c>
      <c r="B1033">
        <v>530</v>
      </c>
      <c r="C1033" t="s">
        <v>199</v>
      </c>
      <c r="D1033">
        <v>2633</v>
      </c>
      <c r="E1033" s="1">
        <v>1.2E-2</v>
      </c>
      <c r="F1033" s="1">
        <v>5.0000000000000001E-4</v>
      </c>
      <c r="H1033" s="1">
        <v>0.94869999999999999</v>
      </c>
      <c r="I1033" s="1">
        <v>3.8800000000000001E-2</v>
      </c>
    </row>
    <row r="1034" spans="1:10" x14ac:dyDescent="0.25">
      <c r="A1034" t="s">
        <v>203</v>
      </c>
      <c r="B1034">
        <v>503</v>
      </c>
      <c r="C1034" t="s">
        <v>200</v>
      </c>
      <c r="D1034">
        <v>2633</v>
      </c>
      <c r="E1034" s="1">
        <v>1.4200000000000001E-2</v>
      </c>
      <c r="H1034" s="1">
        <v>0.9657</v>
      </c>
      <c r="I1034" s="1">
        <v>2.01E-2</v>
      </c>
    </row>
    <row r="1035" spans="1:10" x14ac:dyDescent="0.25">
      <c r="A1035" t="s">
        <v>203</v>
      </c>
      <c r="B1035">
        <v>321</v>
      </c>
      <c r="C1035" t="s">
        <v>201</v>
      </c>
      <c r="D1035">
        <v>2633</v>
      </c>
      <c r="E1035" s="1">
        <v>2.7000000000000001E-3</v>
      </c>
      <c r="F1035" s="1">
        <v>2.0000000000000001E-4</v>
      </c>
      <c r="G1035" s="1">
        <v>2.0000000000000001E-4</v>
      </c>
      <c r="H1035" s="1">
        <v>0.93910000000000005</v>
      </c>
      <c r="I1035" s="1">
        <v>5.7799999999999997E-2</v>
      </c>
    </row>
    <row r="1036" spans="1:10" x14ac:dyDescent="0.25">
      <c r="A1036" t="s">
        <v>203</v>
      </c>
      <c r="B1036">
        <v>90</v>
      </c>
      <c r="C1036" t="s">
        <v>202</v>
      </c>
      <c r="D1036">
        <v>2633</v>
      </c>
      <c r="E1036" s="1">
        <v>8.6999999999999994E-3</v>
      </c>
      <c r="H1036" s="1">
        <v>0.94799999999999995</v>
      </c>
      <c r="I1036" s="1">
        <v>4.3299999999999998E-2</v>
      </c>
    </row>
    <row r="1037" spans="1:10" x14ac:dyDescent="0.25">
      <c r="A1037" t="s">
        <v>204</v>
      </c>
      <c r="B1037">
        <v>2633</v>
      </c>
      <c r="C1037" t="s">
        <v>204</v>
      </c>
      <c r="D1037">
        <v>2633</v>
      </c>
      <c r="E1037" s="1">
        <v>2.53E-2</v>
      </c>
      <c r="F1037" s="1">
        <v>5.0000000000000001E-4</v>
      </c>
      <c r="G1037" s="1">
        <v>2.9999999999999997E-4</v>
      </c>
      <c r="H1037" s="1">
        <v>0.93089999999999995</v>
      </c>
      <c r="I1037" s="1">
        <v>4.2900000000000001E-2</v>
      </c>
    </row>
    <row r="1039" spans="1:10" x14ac:dyDescent="0.25">
      <c r="A1039" t="s">
        <v>369</v>
      </c>
    </row>
    <row r="1040" spans="1:10" x14ac:dyDescent="0.25">
      <c r="A1040" t="s">
        <v>190</v>
      </c>
      <c r="B1040" t="s">
        <v>195</v>
      </c>
      <c r="C1040" t="s">
        <v>189</v>
      </c>
      <c r="D1040" t="s">
        <v>196</v>
      </c>
      <c r="E1040" t="s">
        <v>364</v>
      </c>
      <c r="F1040" t="s">
        <v>365</v>
      </c>
      <c r="G1040" t="s">
        <v>220</v>
      </c>
      <c r="H1040" t="s">
        <v>366</v>
      </c>
      <c r="I1040" t="s">
        <v>215</v>
      </c>
      <c r="J1040" t="s">
        <v>367</v>
      </c>
    </row>
    <row r="1041" spans="1:10" x14ac:dyDescent="0.25">
      <c r="A1041" t="s">
        <v>198</v>
      </c>
      <c r="B1041">
        <v>82</v>
      </c>
      <c r="C1041" t="s">
        <v>197</v>
      </c>
      <c r="D1041">
        <v>2633</v>
      </c>
      <c r="E1041" s="1">
        <v>0.23910000000000001</v>
      </c>
      <c r="F1041" s="1">
        <v>2.4799999999999999E-2</v>
      </c>
      <c r="H1041" s="1">
        <v>0.53539999999999999</v>
      </c>
      <c r="J1041" s="1">
        <v>0.2006</v>
      </c>
    </row>
    <row r="1042" spans="1:10" x14ac:dyDescent="0.25">
      <c r="A1042" t="s">
        <v>198</v>
      </c>
      <c r="B1042">
        <v>368</v>
      </c>
      <c r="C1042" t="s">
        <v>199</v>
      </c>
      <c r="D1042">
        <v>2633</v>
      </c>
      <c r="E1042" s="1">
        <v>0.123</v>
      </c>
      <c r="F1042" s="1">
        <v>3.8300000000000001E-2</v>
      </c>
      <c r="H1042" s="1">
        <v>0.69169999999999998</v>
      </c>
      <c r="J1042" s="1">
        <v>0.14710000000000001</v>
      </c>
    </row>
    <row r="1043" spans="1:10" x14ac:dyDescent="0.25">
      <c r="A1043" t="s">
        <v>198</v>
      </c>
      <c r="B1043">
        <v>387</v>
      </c>
      <c r="C1043" t="s">
        <v>200</v>
      </c>
      <c r="D1043">
        <v>2633</v>
      </c>
      <c r="E1043" s="1">
        <v>0.15740000000000001</v>
      </c>
      <c r="F1043" s="1">
        <v>2.0400000000000001E-2</v>
      </c>
      <c r="H1043" s="1">
        <v>0.63649999999999995</v>
      </c>
      <c r="I1043" s="1">
        <v>1E-4</v>
      </c>
      <c r="J1043" s="1">
        <v>0.18559999999999999</v>
      </c>
    </row>
    <row r="1044" spans="1:10" x14ac:dyDescent="0.25">
      <c r="A1044" t="s">
        <v>198</v>
      </c>
      <c r="B1044">
        <v>256</v>
      </c>
      <c r="C1044" t="s">
        <v>201</v>
      </c>
      <c r="D1044">
        <v>2633</v>
      </c>
      <c r="E1044" s="1">
        <v>0.16589999999999999</v>
      </c>
      <c r="F1044" s="1">
        <v>4.4999999999999997E-3</v>
      </c>
      <c r="H1044" s="1">
        <v>0.66310000000000002</v>
      </c>
      <c r="J1044" s="1">
        <v>0.16650000000000001</v>
      </c>
    </row>
    <row r="1045" spans="1:10" x14ac:dyDescent="0.25">
      <c r="A1045" t="s">
        <v>198</v>
      </c>
      <c r="B1045">
        <v>96</v>
      </c>
      <c r="C1045" t="s">
        <v>202</v>
      </c>
      <c r="D1045">
        <v>2633</v>
      </c>
      <c r="E1045" s="1">
        <v>0.16789999999999999</v>
      </c>
      <c r="F1045" s="1">
        <v>1.7500000000000002E-2</v>
      </c>
      <c r="H1045" s="1">
        <v>0.60840000000000005</v>
      </c>
      <c r="J1045" s="1">
        <v>0.20610000000000001</v>
      </c>
    </row>
    <row r="1046" spans="1:10" x14ac:dyDescent="0.25">
      <c r="A1046" t="s">
        <v>203</v>
      </c>
      <c r="B1046">
        <v>530</v>
      </c>
      <c r="C1046" t="s">
        <v>199</v>
      </c>
      <c r="D1046">
        <v>2633</v>
      </c>
      <c r="E1046" s="1">
        <v>5.9400000000000001E-2</v>
      </c>
      <c r="F1046" s="1">
        <v>1.5E-3</v>
      </c>
      <c r="G1046" s="1">
        <v>5.9999999999999995E-4</v>
      </c>
      <c r="H1046" s="1">
        <v>0.7218</v>
      </c>
      <c r="J1046" s="1">
        <v>0.21659999999999999</v>
      </c>
    </row>
    <row r="1047" spans="1:10" x14ac:dyDescent="0.25">
      <c r="A1047" t="s">
        <v>203</v>
      </c>
      <c r="B1047">
        <v>503</v>
      </c>
      <c r="C1047" t="s">
        <v>200</v>
      </c>
      <c r="D1047">
        <v>2633</v>
      </c>
      <c r="E1047" s="1">
        <v>7.3099999999999998E-2</v>
      </c>
      <c r="F1047" s="1">
        <v>1.04E-2</v>
      </c>
      <c r="H1047" s="1">
        <v>0.76659999999999995</v>
      </c>
      <c r="J1047" s="1">
        <v>0.14990000000000001</v>
      </c>
    </row>
    <row r="1048" spans="1:10" x14ac:dyDescent="0.25">
      <c r="A1048" t="s">
        <v>203</v>
      </c>
      <c r="B1048">
        <v>321</v>
      </c>
      <c r="C1048" t="s">
        <v>201</v>
      </c>
      <c r="D1048">
        <v>2633</v>
      </c>
      <c r="E1048" s="1">
        <v>5.57E-2</v>
      </c>
      <c r="F1048" s="1">
        <v>2.2200000000000001E-2</v>
      </c>
      <c r="G1048" s="1">
        <v>1.1999999999999999E-3</v>
      </c>
      <c r="H1048" s="1">
        <v>0.76680000000000004</v>
      </c>
      <c r="J1048" s="1">
        <v>0.1542</v>
      </c>
    </row>
    <row r="1049" spans="1:10" x14ac:dyDescent="0.25">
      <c r="A1049" t="s">
        <v>203</v>
      </c>
      <c r="B1049">
        <v>90</v>
      </c>
      <c r="C1049" t="s">
        <v>202</v>
      </c>
      <c r="D1049">
        <v>2633</v>
      </c>
      <c r="E1049" s="1">
        <v>3.6799999999999999E-2</v>
      </c>
      <c r="F1049" s="1">
        <v>1.0200000000000001E-2</v>
      </c>
      <c r="H1049" s="1">
        <v>0.7591</v>
      </c>
      <c r="J1049" s="1">
        <v>0.19389999999999999</v>
      </c>
    </row>
    <row r="1050" spans="1:10" x14ac:dyDescent="0.25">
      <c r="A1050" t="s">
        <v>204</v>
      </c>
      <c r="B1050">
        <v>2633</v>
      </c>
      <c r="C1050" t="s">
        <v>204</v>
      </c>
      <c r="D1050">
        <v>2633</v>
      </c>
      <c r="E1050" s="1">
        <v>0.1095</v>
      </c>
      <c r="F1050" s="1">
        <v>1.6E-2</v>
      </c>
      <c r="G1050" s="1">
        <v>1E-4</v>
      </c>
      <c r="H1050" s="1">
        <v>0.69969999999999999</v>
      </c>
      <c r="I1050" s="1">
        <v>0</v>
      </c>
      <c r="J1050" s="1">
        <v>0.17460000000000001</v>
      </c>
    </row>
    <row r="1052" spans="1:10" x14ac:dyDescent="0.25">
      <c r="A1052" t="s">
        <v>370</v>
      </c>
    </row>
    <row r="1053" spans="1:10" x14ac:dyDescent="0.25">
      <c r="A1053" t="s">
        <v>190</v>
      </c>
      <c r="B1053" t="s">
        <v>195</v>
      </c>
      <c r="C1053" t="s">
        <v>189</v>
      </c>
      <c r="D1053" t="s">
        <v>196</v>
      </c>
      <c r="E1053" t="s">
        <v>364</v>
      </c>
      <c r="F1053" t="s">
        <v>365</v>
      </c>
      <c r="G1053" t="s">
        <v>220</v>
      </c>
      <c r="H1053" t="s">
        <v>366</v>
      </c>
      <c r="I1053" t="s">
        <v>215</v>
      </c>
      <c r="J1053" t="s">
        <v>367</v>
      </c>
    </row>
    <row r="1054" spans="1:10" x14ac:dyDescent="0.25">
      <c r="A1054" t="s">
        <v>198</v>
      </c>
      <c r="B1054">
        <v>82</v>
      </c>
      <c r="C1054" t="s">
        <v>197</v>
      </c>
      <c r="D1054">
        <v>2633</v>
      </c>
      <c r="E1054" s="1">
        <v>8.2600000000000007E-2</v>
      </c>
      <c r="H1054" s="1">
        <v>0.69550000000000001</v>
      </c>
      <c r="J1054" s="1">
        <v>0.2218</v>
      </c>
    </row>
    <row r="1055" spans="1:10" x14ac:dyDescent="0.25">
      <c r="A1055" t="s">
        <v>198</v>
      </c>
      <c r="B1055">
        <v>368</v>
      </c>
      <c r="C1055" t="s">
        <v>199</v>
      </c>
      <c r="D1055">
        <v>2633</v>
      </c>
      <c r="E1055" s="1">
        <v>3.1899999999999998E-2</v>
      </c>
      <c r="F1055" s="1">
        <v>3.7000000000000002E-3</v>
      </c>
      <c r="G1055" s="1">
        <v>2.9999999999999997E-4</v>
      </c>
      <c r="H1055" s="1">
        <v>0.79120000000000001</v>
      </c>
      <c r="J1055" s="1">
        <v>0.17280000000000001</v>
      </c>
    </row>
    <row r="1056" spans="1:10" x14ac:dyDescent="0.25">
      <c r="A1056" t="s">
        <v>198</v>
      </c>
      <c r="B1056">
        <v>387</v>
      </c>
      <c r="C1056" t="s">
        <v>200</v>
      </c>
      <c r="D1056">
        <v>2633</v>
      </c>
      <c r="E1056" s="1">
        <v>5.7700000000000001E-2</v>
      </c>
      <c r="F1056" s="1">
        <v>1.6999999999999999E-3</v>
      </c>
      <c r="G1056" s="1">
        <v>6.7999999999999996E-3</v>
      </c>
      <c r="H1056" s="1">
        <v>0.71489999999999998</v>
      </c>
      <c r="J1056" s="1">
        <v>0.21879999999999999</v>
      </c>
    </row>
    <row r="1057" spans="1:10" x14ac:dyDescent="0.25">
      <c r="A1057" t="s">
        <v>198</v>
      </c>
      <c r="B1057">
        <v>256</v>
      </c>
      <c r="C1057" t="s">
        <v>201</v>
      </c>
      <c r="D1057">
        <v>2633</v>
      </c>
      <c r="E1057" s="1">
        <v>5.8999999999999997E-2</v>
      </c>
      <c r="G1057" s="1">
        <v>3.5000000000000001E-3</v>
      </c>
      <c r="H1057" s="1">
        <v>0.6865</v>
      </c>
      <c r="J1057" s="1">
        <v>0.251</v>
      </c>
    </row>
    <row r="1058" spans="1:10" x14ac:dyDescent="0.25">
      <c r="A1058" t="s">
        <v>198</v>
      </c>
      <c r="B1058">
        <v>96</v>
      </c>
      <c r="C1058" t="s">
        <v>202</v>
      </c>
      <c r="D1058">
        <v>2633</v>
      </c>
      <c r="E1058" s="1">
        <v>4.5999999999999999E-2</v>
      </c>
      <c r="F1058" s="1">
        <v>8.0000000000000002E-3</v>
      </c>
      <c r="H1058" s="1">
        <v>0.71230000000000004</v>
      </c>
      <c r="J1058" s="1">
        <v>0.23369999999999999</v>
      </c>
    </row>
    <row r="1059" spans="1:10" x14ac:dyDescent="0.25">
      <c r="A1059" t="s">
        <v>203</v>
      </c>
      <c r="B1059">
        <v>530</v>
      </c>
      <c r="C1059" t="s">
        <v>199</v>
      </c>
      <c r="D1059">
        <v>2633</v>
      </c>
      <c r="E1059" s="1">
        <v>2.1999999999999999E-2</v>
      </c>
      <c r="F1059" s="1">
        <v>5.1999999999999998E-3</v>
      </c>
      <c r="G1059" s="1">
        <v>1.6999999999999999E-3</v>
      </c>
      <c r="H1059" s="1">
        <v>0.85770000000000002</v>
      </c>
      <c r="I1059" s="1">
        <v>5.9999999999999995E-4</v>
      </c>
      <c r="J1059" s="1">
        <v>0.11269999999999999</v>
      </c>
    </row>
    <row r="1060" spans="1:10" x14ac:dyDescent="0.25">
      <c r="A1060" t="s">
        <v>203</v>
      </c>
      <c r="B1060">
        <v>503</v>
      </c>
      <c r="C1060" t="s">
        <v>200</v>
      </c>
      <c r="D1060">
        <v>2633</v>
      </c>
      <c r="E1060" s="1">
        <v>1.26E-2</v>
      </c>
      <c r="F1060" s="1">
        <v>6.9999999999999999E-4</v>
      </c>
      <c r="G1060" s="1">
        <v>1.1999999999999999E-3</v>
      </c>
      <c r="H1060" s="1">
        <v>0.84609999999999996</v>
      </c>
      <c r="J1060" s="1">
        <v>0.13930000000000001</v>
      </c>
    </row>
    <row r="1061" spans="1:10" x14ac:dyDescent="0.25">
      <c r="A1061" t="s">
        <v>203</v>
      </c>
      <c r="B1061">
        <v>321</v>
      </c>
      <c r="C1061" t="s">
        <v>201</v>
      </c>
      <c r="D1061">
        <v>2633</v>
      </c>
      <c r="E1061" s="1">
        <v>3.4200000000000001E-2</v>
      </c>
      <c r="F1061" s="1">
        <v>1.1999999999999999E-3</v>
      </c>
      <c r="G1061" s="1">
        <v>2.0000000000000001E-4</v>
      </c>
      <c r="H1061" s="1">
        <v>0.84899999999999998</v>
      </c>
      <c r="J1061" s="1">
        <v>0.11550000000000001</v>
      </c>
    </row>
    <row r="1062" spans="1:10" x14ac:dyDescent="0.25">
      <c r="A1062" t="s">
        <v>203</v>
      </c>
      <c r="B1062">
        <v>90</v>
      </c>
      <c r="C1062" t="s">
        <v>202</v>
      </c>
      <c r="D1062">
        <v>2633</v>
      </c>
      <c r="E1062" s="1">
        <v>3.7000000000000002E-3</v>
      </c>
      <c r="G1062" s="1">
        <v>5.8999999999999999E-3</v>
      </c>
      <c r="H1062" s="1">
        <v>0.8014</v>
      </c>
      <c r="J1062" s="1">
        <v>0.18890000000000001</v>
      </c>
    </row>
    <row r="1063" spans="1:10" x14ac:dyDescent="0.25">
      <c r="A1063" t="s">
        <v>204</v>
      </c>
      <c r="B1063">
        <v>2633</v>
      </c>
      <c r="C1063" t="s">
        <v>204</v>
      </c>
      <c r="D1063">
        <v>2633</v>
      </c>
      <c r="E1063" s="1">
        <v>3.2500000000000001E-2</v>
      </c>
      <c r="F1063" s="1">
        <v>2.3999999999999998E-3</v>
      </c>
      <c r="G1063" s="1">
        <v>2E-3</v>
      </c>
      <c r="H1063" s="1">
        <v>0.7923</v>
      </c>
      <c r="I1063" s="1">
        <v>1E-4</v>
      </c>
      <c r="J1063" s="1">
        <v>0.17080000000000001</v>
      </c>
    </row>
    <row r="1065" spans="1:10" x14ac:dyDescent="0.25">
      <c r="A1065" t="s">
        <v>371</v>
      </c>
    </row>
    <row r="1066" spans="1:10" x14ac:dyDescent="0.25">
      <c r="A1066" t="s">
        <v>190</v>
      </c>
      <c r="B1066" t="s">
        <v>195</v>
      </c>
      <c r="C1066" t="s">
        <v>189</v>
      </c>
      <c r="D1066" t="s">
        <v>196</v>
      </c>
      <c r="E1066" t="s">
        <v>364</v>
      </c>
      <c r="F1066" t="s">
        <v>365</v>
      </c>
      <c r="G1066" t="s">
        <v>220</v>
      </c>
      <c r="H1066" t="s">
        <v>366</v>
      </c>
      <c r="I1066" t="s">
        <v>215</v>
      </c>
      <c r="J1066" t="s">
        <v>367</v>
      </c>
    </row>
    <row r="1067" spans="1:10" x14ac:dyDescent="0.25">
      <c r="A1067" t="s">
        <v>198</v>
      </c>
      <c r="B1067">
        <v>82</v>
      </c>
      <c r="C1067" t="s">
        <v>197</v>
      </c>
      <c r="D1067">
        <v>2633</v>
      </c>
      <c r="E1067" s="1">
        <v>6.4100000000000004E-2</v>
      </c>
      <c r="F1067" s="1">
        <v>1.0999999999999999E-2</v>
      </c>
      <c r="H1067" s="1">
        <v>0.82579999999999998</v>
      </c>
      <c r="J1067" s="1">
        <v>9.9099999999999994E-2</v>
      </c>
    </row>
    <row r="1068" spans="1:10" x14ac:dyDescent="0.25">
      <c r="A1068" t="s">
        <v>198</v>
      </c>
      <c r="B1068">
        <v>368</v>
      </c>
      <c r="C1068" t="s">
        <v>199</v>
      </c>
      <c r="D1068">
        <v>2633</v>
      </c>
      <c r="E1068" s="1">
        <v>3.9600000000000003E-2</v>
      </c>
      <c r="F1068" s="1">
        <v>1.7500000000000002E-2</v>
      </c>
      <c r="G1068" s="1">
        <v>8.9999999999999998E-4</v>
      </c>
      <c r="H1068" s="1">
        <v>0.88790000000000002</v>
      </c>
      <c r="J1068" s="1">
        <v>5.4300000000000001E-2</v>
      </c>
    </row>
    <row r="1069" spans="1:10" x14ac:dyDescent="0.25">
      <c r="A1069" t="s">
        <v>198</v>
      </c>
      <c r="B1069">
        <v>387</v>
      </c>
      <c r="C1069" t="s">
        <v>200</v>
      </c>
      <c r="D1069">
        <v>2633</v>
      </c>
      <c r="E1069" s="1">
        <v>2.5000000000000001E-2</v>
      </c>
      <c r="F1069" s="1">
        <v>1.67E-2</v>
      </c>
      <c r="H1069" s="1">
        <v>0.8881</v>
      </c>
      <c r="I1069" s="1">
        <v>4.5999999999999999E-3</v>
      </c>
      <c r="J1069" s="1">
        <v>6.5600000000000006E-2</v>
      </c>
    </row>
    <row r="1070" spans="1:10" x14ac:dyDescent="0.25">
      <c r="A1070" t="s">
        <v>198</v>
      </c>
      <c r="B1070">
        <v>256</v>
      </c>
      <c r="C1070" t="s">
        <v>201</v>
      </c>
      <c r="D1070">
        <v>2633</v>
      </c>
      <c r="E1070" s="1">
        <v>3.3500000000000002E-2</v>
      </c>
      <c r="F1070" s="1">
        <v>8.2000000000000007E-3</v>
      </c>
      <c r="H1070" s="1">
        <v>0.89480000000000004</v>
      </c>
      <c r="J1070" s="1">
        <v>6.3500000000000001E-2</v>
      </c>
    </row>
    <row r="1071" spans="1:10" x14ac:dyDescent="0.25">
      <c r="A1071" t="s">
        <v>198</v>
      </c>
      <c r="B1071">
        <v>96</v>
      </c>
      <c r="C1071" t="s">
        <v>202</v>
      </c>
      <c r="D1071">
        <v>2633</v>
      </c>
      <c r="E1071" s="1">
        <v>2.6599999999999999E-2</v>
      </c>
      <c r="F1071" s="1">
        <v>1.7500000000000002E-2</v>
      </c>
      <c r="H1071" s="1">
        <v>0.86960000000000004</v>
      </c>
      <c r="J1071" s="1">
        <v>8.6400000000000005E-2</v>
      </c>
    </row>
    <row r="1072" spans="1:10" x14ac:dyDescent="0.25">
      <c r="A1072" t="s">
        <v>203</v>
      </c>
      <c r="B1072">
        <v>530</v>
      </c>
      <c r="C1072" t="s">
        <v>199</v>
      </c>
      <c r="D1072">
        <v>2633</v>
      </c>
      <c r="E1072" s="1">
        <v>3.3999999999999998E-3</v>
      </c>
      <c r="F1072" s="1">
        <v>2.2000000000000001E-3</v>
      </c>
      <c r="H1072" s="1">
        <v>0.93920000000000003</v>
      </c>
      <c r="J1072" s="1">
        <v>5.5199999999999999E-2</v>
      </c>
    </row>
    <row r="1073" spans="1:10" x14ac:dyDescent="0.25">
      <c r="A1073" t="s">
        <v>203</v>
      </c>
      <c r="B1073">
        <v>503</v>
      </c>
      <c r="C1073" t="s">
        <v>200</v>
      </c>
      <c r="D1073">
        <v>2633</v>
      </c>
      <c r="E1073" s="1">
        <v>1.72E-2</v>
      </c>
      <c r="F1073" s="1">
        <v>1.6000000000000001E-3</v>
      </c>
      <c r="H1073" s="1">
        <v>0.95450000000000002</v>
      </c>
      <c r="J1073" s="1">
        <v>2.6700000000000002E-2</v>
      </c>
    </row>
    <row r="1074" spans="1:10" x14ac:dyDescent="0.25">
      <c r="A1074" t="s">
        <v>203</v>
      </c>
      <c r="B1074">
        <v>321</v>
      </c>
      <c r="C1074" t="s">
        <v>201</v>
      </c>
      <c r="D1074">
        <v>2633</v>
      </c>
      <c r="E1074" s="1">
        <v>6.8999999999999999E-3</v>
      </c>
      <c r="F1074" s="1">
        <v>1.47E-2</v>
      </c>
      <c r="H1074" s="1">
        <v>0.94699999999999995</v>
      </c>
      <c r="J1074" s="1">
        <v>3.1399999999999997E-2</v>
      </c>
    </row>
    <row r="1075" spans="1:10" x14ac:dyDescent="0.25">
      <c r="A1075" t="s">
        <v>203</v>
      </c>
      <c r="B1075">
        <v>90</v>
      </c>
      <c r="C1075" t="s">
        <v>202</v>
      </c>
      <c r="D1075">
        <v>2633</v>
      </c>
      <c r="E1075" s="1">
        <v>5.8999999999999999E-3</v>
      </c>
      <c r="H1075" s="1">
        <v>0.95440000000000003</v>
      </c>
      <c r="J1075" s="1">
        <v>3.9699999999999999E-2</v>
      </c>
    </row>
    <row r="1076" spans="1:10" x14ac:dyDescent="0.25">
      <c r="A1076" t="s">
        <v>204</v>
      </c>
      <c r="B1076">
        <v>2633</v>
      </c>
      <c r="C1076" t="s">
        <v>204</v>
      </c>
      <c r="D1076">
        <v>2633</v>
      </c>
      <c r="E1076" s="1">
        <v>2.2800000000000001E-2</v>
      </c>
      <c r="F1076" s="1">
        <v>8.6E-3</v>
      </c>
      <c r="G1076" s="1">
        <v>1E-4</v>
      </c>
      <c r="H1076" s="1">
        <v>0.91610000000000003</v>
      </c>
      <c r="I1076" s="1">
        <v>5.9999999999999995E-4</v>
      </c>
      <c r="J1076" s="1">
        <v>5.1799999999999999E-2</v>
      </c>
    </row>
    <row r="1078" spans="1:10" x14ac:dyDescent="0.25">
      <c r="A1078" t="s">
        <v>372</v>
      </c>
    </row>
    <row r="1079" spans="1:10" x14ac:dyDescent="0.25">
      <c r="A1079" t="s">
        <v>190</v>
      </c>
      <c r="B1079" t="s">
        <v>195</v>
      </c>
      <c r="C1079" t="s">
        <v>189</v>
      </c>
      <c r="D1079" t="s">
        <v>196</v>
      </c>
      <c r="E1079" t="s">
        <v>364</v>
      </c>
      <c r="F1079" t="s">
        <v>365</v>
      </c>
      <c r="G1079" t="s">
        <v>220</v>
      </c>
      <c r="H1079" t="s">
        <v>366</v>
      </c>
      <c r="I1079" t="s">
        <v>367</v>
      </c>
    </row>
    <row r="1080" spans="1:10" x14ac:dyDescent="0.25">
      <c r="A1080" t="s">
        <v>198</v>
      </c>
      <c r="B1080">
        <v>82</v>
      </c>
      <c r="C1080" t="s">
        <v>197</v>
      </c>
      <c r="D1080">
        <v>2633</v>
      </c>
      <c r="E1080" s="1">
        <v>7.4999999999999997E-3</v>
      </c>
      <c r="F1080" s="1">
        <v>2.4799999999999999E-2</v>
      </c>
      <c r="H1080" s="1">
        <v>0.91469999999999996</v>
      </c>
      <c r="I1080" s="1">
        <v>5.3100000000000001E-2</v>
      </c>
    </row>
    <row r="1081" spans="1:10" x14ac:dyDescent="0.25">
      <c r="A1081" t="s">
        <v>198</v>
      </c>
      <c r="B1081">
        <v>368</v>
      </c>
      <c r="C1081" t="s">
        <v>199</v>
      </c>
      <c r="D1081">
        <v>2633</v>
      </c>
      <c r="E1081" s="1">
        <v>2.4799999999999999E-2</v>
      </c>
      <c r="F1081" s="1">
        <v>3.0000000000000001E-3</v>
      </c>
      <c r="H1081" s="1">
        <v>0.94010000000000005</v>
      </c>
      <c r="I1081" s="1">
        <v>3.2099999999999997E-2</v>
      </c>
    </row>
    <row r="1082" spans="1:10" x14ac:dyDescent="0.25">
      <c r="A1082" t="s">
        <v>198</v>
      </c>
      <c r="B1082">
        <v>387</v>
      </c>
      <c r="C1082" t="s">
        <v>200</v>
      </c>
      <c r="D1082">
        <v>2633</v>
      </c>
      <c r="E1082" s="1">
        <v>2.0799999999999999E-2</v>
      </c>
      <c r="F1082" s="1">
        <v>1.6999999999999999E-3</v>
      </c>
      <c r="G1082" s="1">
        <v>4.7000000000000002E-3</v>
      </c>
      <c r="H1082" s="1">
        <v>0.91610000000000003</v>
      </c>
      <c r="I1082" s="1">
        <v>5.67E-2</v>
      </c>
    </row>
    <row r="1083" spans="1:10" x14ac:dyDescent="0.25">
      <c r="A1083" t="s">
        <v>198</v>
      </c>
      <c r="B1083">
        <v>256</v>
      </c>
      <c r="C1083" t="s">
        <v>201</v>
      </c>
      <c r="D1083">
        <v>2633</v>
      </c>
      <c r="E1083" s="1">
        <v>7.7000000000000002E-3</v>
      </c>
      <c r="F1083" s="1">
        <v>2.9999999999999997E-4</v>
      </c>
      <c r="H1083" s="1">
        <v>0.93610000000000004</v>
      </c>
      <c r="I1083" s="1">
        <v>5.5800000000000002E-2</v>
      </c>
    </row>
    <row r="1084" spans="1:10" x14ac:dyDescent="0.25">
      <c r="A1084" t="s">
        <v>198</v>
      </c>
      <c r="B1084">
        <v>96</v>
      </c>
      <c r="C1084" t="s">
        <v>202</v>
      </c>
      <c r="D1084">
        <v>2633</v>
      </c>
      <c r="E1084" s="1">
        <v>9.4999999999999998E-3</v>
      </c>
      <c r="H1084" s="1">
        <v>0.9516</v>
      </c>
      <c r="I1084" s="1">
        <v>3.8899999999999997E-2</v>
      </c>
    </row>
    <row r="1085" spans="1:10" x14ac:dyDescent="0.25">
      <c r="A1085" t="s">
        <v>203</v>
      </c>
      <c r="B1085">
        <v>530</v>
      </c>
      <c r="C1085" t="s">
        <v>199</v>
      </c>
      <c r="D1085">
        <v>2633</v>
      </c>
      <c r="E1085" s="1">
        <v>2.7000000000000001E-3</v>
      </c>
      <c r="F1085" s="1">
        <v>5.0000000000000001E-4</v>
      </c>
      <c r="H1085" s="1">
        <v>0.94320000000000004</v>
      </c>
      <c r="I1085" s="1">
        <v>5.3600000000000002E-2</v>
      </c>
    </row>
    <row r="1086" spans="1:10" x14ac:dyDescent="0.25">
      <c r="A1086" t="s">
        <v>203</v>
      </c>
      <c r="B1086">
        <v>503</v>
      </c>
      <c r="C1086" t="s">
        <v>200</v>
      </c>
      <c r="D1086">
        <v>2633</v>
      </c>
      <c r="E1086" s="1">
        <v>9.1000000000000004E-3</v>
      </c>
      <c r="F1086" s="1">
        <v>6.9999999999999999E-4</v>
      </c>
      <c r="H1086" s="1">
        <v>0.94710000000000005</v>
      </c>
      <c r="I1086" s="1">
        <v>4.3099999999999999E-2</v>
      </c>
    </row>
    <row r="1087" spans="1:10" x14ac:dyDescent="0.25">
      <c r="A1087" t="s">
        <v>203</v>
      </c>
      <c r="B1087">
        <v>321</v>
      </c>
      <c r="C1087" t="s">
        <v>201</v>
      </c>
      <c r="D1087">
        <v>2633</v>
      </c>
      <c r="F1087" s="1">
        <v>1.1999999999999999E-3</v>
      </c>
      <c r="H1087" s="1">
        <v>0.96299999999999997</v>
      </c>
      <c r="I1087" s="1">
        <v>3.5799999999999998E-2</v>
      </c>
    </row>
    <row r="1088" spans="1:10" x14ac:dyDescent="0.25">
      <c r="A1088" t="s">
        <v>203</v>
      </c>
      <c r="B1088">
        <v>90</v>
      </c>
      <c r="C1088" t="s">
        <v>202</v>
      </c>
      <c r="D1088">
        <v>2633</v>
      </c>
      <c r="H1088" s="1">
        <v>0.95589999999999997</v>
      </c>
      <c r="I1088" s="1">
        <v>4.41E-2</v>
      </c>
    </row>
    <row r="1089" spans="1:9" x14ac:dyDescent="0.25">
      <c r="A1089" t="s">
        <v>204</v>
      </c>
      <c r="B1089">
        <v>2633</v>
      </c>
      <c r="C1089" t="s">
        <v>204</v>
      </c>
      <c r="D1089">
        <v>2633</v>
      </c>
      <c r="E1089" s="1">
        <v>1.06E-2</v>
      </c>
      <c r="F1089" s="1">
        <v>2.5999999999999999E-3</v>
      </c>
      <c r="G1089" s="1">
        <v>5.9999999999999995E-4</v>
      </c>
      <c r="H1089" s="1">
        <v>0.94089999999999996</v>
      </c>
      <c r="I1089" s="1">
        <v>4.53E-2</v>
      </c>
    </row>
    <row r="1091" spans="1:9" x14ac:dyDescent="0.25">
      <c r="A1091" t="s">
        <v>373</v>
      </c>
    </row>
    <row r="1092" spans="1:9" x14ac:dyDescent="0.25">
      <c r="A1092" t="s">
        <v>190</v>
      </c>
      <c r="B1092" t="s">
        <v>195</v>
      </c>
      <c r="C1092" t="s">
        <v>189</v>
      </c>
      <c r="D1092" t="s">
        <v>196</v>
      </c>
      <c r="E1092" t="s">
        <v>220</v>
      </c>
      <c r="F1092" t="s">
        <v>374</v>
      </c>
      <c r="G1092" t="s">
        <v>215</v>
      </c>
      <c r="H1092" t="s">
        <v>375</v>
      </c>
      <c r="I1092" t="s">
        <v>376</v>
      </c>
    </row>
    <row r="1093" spans="1:9" x14ac:dyDescent="0.25">
      <c r="A1093" t="s">
        <v>198</v>
      </c>
      <c r="B1093">
        <v>82</v>
      </c>
      <c r="C1093" t="s">
        <v>197</v>
      </c>
      <c r="D1093">
        <v>2633</v>
      </c>
      <c r="F1093" s="1">
        <v>0.70189999999999997</v>
      </c>
      <c r="H1093" s="1">
        <v>0.12870000000000001</v>
      </c>
      <c r="I1093" s="1">
        <v>0.1694</v>
      </c>
    </row>
    <row r="1094" spans="1:9" x14ac:dyDescent="0.25">
      <c r="A1094" t="s">
        <v>198</v>
      </c>
      <c r="B1094">
        <v>368</v>
      </c>
      <c r="C1094" t="s">
        <v>199</v>
      </c>
      <c r="D1094">
        <v>2633</v>
      </c>
      <c r="F1094" s="1">
        <v>0.73629999999999995</v>
      </c>
      <c r="G1094" s="1">
        <v>1.7399999999999999E-2</v>
      </c>
      <c r="H1094" s="1">
        <v>7.46E-2</v>
      </c>
      <c r="I1094" s="1">
        <v>0.17169999999999999</v>
      </c>
    </row>
    <row r="1095" spans="1:9" x14ac:dyDescent="0.25">
      <c r="A1095" t="s">
        <v>198</v>
      </c>
      <c r="B1095">
        <v>387</v>
      </c>
      <c r="C1095" t="s">
        <v>200</v>
      </c>
      <c r="D1095">
        <v>2633</v>
      </c>
      <c r="E1095" s="1">
        <v>5.5999999999999999E-3</v>
      </c>
      <c r="F1095" s="1">
        <v>0.63570000000000004</v>
      </c>
      <c r="H1095" s="1">
        <v>0.1968</v>
      </c>
      <c r="I1095" s="1">
        <v>0.16189999999999999</v>
      </c>
    </row>
    <row r="1096" spans="1:9" x14ac:dyDescent="0.25">
      <c r="A1096" t="s">
        <v>198</v>
      </c>
      <c r="B1096">
        <v>256</v>
      </c>
      <c r="C1096" t="s">
        <v>201</v>
      </c>
      <c r="D1096">
        <v>2633</v>
      </c>
      <c r="E1096" s="1">
        <v>1.06E-2</v>
      </c>
      <c r="F1096" s="1">
        <v>0.54679999999999995</v>
      </c>
      <c r="G1096" s="1">
        <v>5.4999999999999997E-3</v>
      </c>
      <c r="H1096" s="1">
        <v>0.2414</v>
      </c>
      <c r="I1096" s="1">
        <v>0.19570000000000001</v>
      </c>
    </row>
    <row r="1097" spans="1:9" x14ac:dyDescent="0.25">
      <c r="A1097" t="s">
        <v>198</v>
      </c>
      <c r="B1097">
        <v>96</v>
      </c>
      <c r="C1097" t="s">
        <v>202</v>
      </c>
      <c r="D1097">
        <v>2633</v>
      </c>
      <c r="F1097" s="1">
        <v>0.65939999999999999</v>
      </c>
      <c r="G1097" s="1">
        <v>1.01E-2</v>
      </c>
      <c r="H1097" s="1">
        <v>0.18229999999999999</v>
      </c>
      <c r="I1097" s="1">
        <v>0.14810000000000001</v>
      </c>
    </row>
    <row r="1098" spans="1:9" x14ac:dyDescent="0.25">
      <c r="A1098" t="s">
        <v>203</v>
      </c>
      <c r="B1098">
        <v>530</v>
      </c>
      <c r="C1098" t="s">
        <v>199</v>
      </c>
      <c r="D1098">
        <v>2633</v>
      </c>
      <c r="E1098" s="1">
        <v>1.6000000000000001E-3</v>
      </c>
      <c r="F1098" s="1">
        <v>0.47689999999999999</v>
      </c>
      <c r="H1098" s="1">
        <v>7.3800000000000004E-2</v>
      </c>
      <c r="I1098" s="1">
        <v>0.44769999999999999</v>
      </c>
    </row>
    <row r="1099" spans="1:9" x14ac:dyDescent="0.25">
      <c r="A1099" t="s">
        <v>203</v>
      </c>
      <c r="B1099">
        <v>503</v>
      </c>
      <c r="C1099" t="s">
        <v>200</v>
      </c>
      <c r="D1099">
        <v>2633</v>
      </c>
      <c r="F1099" s="1">
        <v>0.53949999999999998</v>
      </c>
      <c r="H1099" s="1">
        <v>7.7799999999999994E-2</v>
      </c>
      <c r="I1099" s="1">
        <v>0.38269999999999998</v>
      </c>
    </row>
    <row r="1100" spans="1:9" x14ac:dyDescent="0.25">
      <c r="A1100" t="s">
        <v>203</v>
      </c>
      <c r="B1100">
        <v>321</v>
      </c>
      <c r="C1100" t="s">
        <v>201</v>
      </c>
      <c r="D1100">
        <v>2633</v>
      </c>
      <c r="F1100" s="1">
        <v>0.41260000000000002</v>
      </c>
      <c r="H1100" s="1">
        <v>6.3500000000000001E-2</v>
      </c>
      <c r="I1100" s="1">
        <v>0.52390000000000003</v>
      </c>
    </row>
    <row r="1101" spans="1:9" x14ac:dyDescent="0.25">
      <c r="A1101" t="s">
        <v>203</v>
      </c>
      <c r="B1101">
        <v>90</v>
      </c>
      <c r="C1101" t="s">
        <v>202</v>
      </c>
      <c r="D1101">
        <v>2633</v>
      </c>
      <c r="F1101" s="1">
        <v>0.51129999999999998</v>
      </c>
      <c r="G1101" s="1">
        <v>1.4E-2</v>
      </c>
      <c r="H1101" s="1">
        <v>0.12520000000000001</v>
      </c>
      <c r="I1101" s="1">
        <v>0.34960000000000002</v>
      </c>
    </row>
    <row r="1102" spans="1:9" x14ac:dyDescent="0.25">
      <c r="A1102" t="s">
        <v>204</v>
      </c>
      <c r="B1102">
        <v>2633</v>
      </c>
      <c r="C1102" t="s">
        <v>204</v>
      </c>
      <c r="D1102">
        <v>2633</v>
      </c>
      <c r="E1102" s="1">
        <v>1.4E-3</v>
      </c>
      <c r="F1102" s="1">
        <v>0.58209999999999995</v>
      </c>
      <c r="G1102" s="1">
        <v>4.1000000000000003E-3</v>
      </c>
      <c r="H1102" s="1">
        <v>0.1143</v>
      </c>
      <c r="I1102" s="1">
        <v>0.29809999999999998</v>
      </c>
    </row>
    <row r="1104" spans="1:9" x14ac:dyDescent="0.25">
      <c r="A1104" t="s">
        <v>377</v>
      </c>
    </row>
    <row r="1105" spans="1:10" x14ac:dyDescent="0.25">
      <c r="A1105" t="s">
        <v>190</v>
      </c>
      <c r="B1105" t="s">
        <v>195</v>
      </c>
      <c r="C1105" t="s">
        <v>189</v>
      </c>
      <c r="D1105" t="s">
        <v>196</v>
      </c>
      <c r="E1105" t="s">
        <v>220</v>
      </c>
      <c r="F1105" t="s">
        <v>207</v>
      </c>
      <c r="G1105" t="s">
        <v>215</v>
      </c>
      <c r="H1105" t="s">
        <v>208</v>
      </c>
    </row>
    <row r="1106" spans="1:10" x14ac:dyDescent="0.25">
      <c r="A1106" t="s">
        <v>198</v>
      </c>
      <c r="B1106">
        <v>82</v>
      </c>
      <c r="C1106" t="s">
        <v>197</v>
      </c>
      <c r="D1106">
        <v>2633</v>
      </c>
      <c r="F1106" s="1">
        <v>0.92130000000000001</v>
      </c>
      <c r="H1106" s="1">
        <v>7.8700000000000006E-2</v>
      </c>
    </row>
    <row r="1107" spans="1:10" x14ac:dyDescent="0.25">
      <c r="A1107" t="s">
        <v>198</v>
      </c>
      <c r="B1107">
        <v>368</v>
      </c>
      <c r="C1107" t="s">
        <v>199</v>
      </c>
      <c r="D1107">
        <v>2633</v>
      </c>
      <c r="F1107" s="1">
        <v>0.95679999999999998</v>
      </c>
      <c r="H1107" s="1">
        <v>4.3200000000000002E-2</v>
      </c>
    </row>
    <row r="1108" spans="1:10" x14ac:dyDescent="0.25">
      <c r="A1108" t="s">
        <v>198</v>
      </c>
      <c r="B1108">
        <v>387</v>
      </c>
      <c r="C1108" t="s">
        <v>200</v>
      </c>
      <c r="D1108">
        <v>2633</v>
      </c>
      <c r="F1108" s="1">
        <v>0.88349999999999995</v>
      </c>
      <c r="H1108" s="1">
        <v>0.11650000000000001</v>
      </c>
    </row>
    <row r="1109" spans="1:10" x14ac:dyDescent="0.25">
      <c r="A1109" t="s">
        <v>198</v>
      </c>
      <c r="B1109">
        <v>256</v>
      </c>
      <c r="C1109" t="s">
        <v>201</v>
      </c>
      <c r="D1109">
        <v>2633</v>
      </c>
      <c r="E1109" s="1">
        <v>1.1999999999999999E-3</v>
      </c>
      <c r="F1109" s="1">
        <v>0.91</v>
      </c>
      <c r="H1109" s="1">
        <v>8.8800000000000004E-2</v>
      </c>
    </row>
    <row r="1110" spans="1:10" x14ac:dyDescent="0.25">
      <c r="A1110" t="s">
        <v>198</v>
      </c>
      <c r="B1110">
        <v>96</v>
      </c>
      <c r="C1110" t="s">
        <v>202</v>
      </c>
      <c r="D1110">
        <v>2633</v>
      </c>
      <c r="F1110" s="1">
        <v>0.85129999999999995</v>
      </c>
      <c r="H1110" s="1">
        <v>0.1487</v>
      </c>
    </row>
    <row r="1111" spans="1:10" x14ac:dyDescent="0.25">
      <c r="A1111" t="s">
        <v>203</v>
      </c>
      <c r="B1111">
        <v>530</v>
      </c>
      <c r="C1111" t="s">
        <v>199</v>
      </c>
      <c r="D1111">
        <v>2633</v>
      </c>
      <c r="E1111" s="1">
        <v>1.1000000000000001E-3</v>
      </c>
      <c r="F1111" s="1">
        <v>0.68700000000000006</v>
      </c>
      <c r="H1111" s="1">
        <v>0.312</v>
      </c>
    </row>
    <row r="1112" spans="1:10" x14ac:dyDescent="0.25">
      <c r="A1112" t="s">
        <v>203</v>
      </c>
      <c r="B1112">
        <v>503</v>
      </c>
      <c r="C1112" t="s">
        <v>200</v>
      </c>
      <c r="D1112">
        <v>2633</v>
      </c>
      <c r="E1112" s="1">
        <v>1.1999999999999999E-3</v>
      </c>
      <c r="F1112" s="1">
        <v>0.74360000000000004</v>
      </c>
      <c r="G1112" s="1">
        <v>5.0000000000000001E-4</v>
      </c>
      <c r="H1112" s="1">
        <v>0.25469999999999998</v>
      </c>
    </row>
    <row r="1113" spans="1:10" x14ac:dyDescent="0.25">
      <c r="A1113" t="s">
        <v>203</v>
      </c>
      <c r="B1113">
        <v>321</v>
      </c>
      <c r="C1113" t="s">
        <v>201</v>
      </c>
      <c r="D1113">
        <v>2633</v>
      </c>
      <c r="F1113" s="1">
        <v>0.45710000000000001</v>
      </c>
      <c r="H1113" s="1">
        <v>0.54290000000000005</v>
      </c>
    </row>
    <row r="1114" spans="1:10" x14ac:dyDescent="0.25">
      <c r="A1114" t="s">
        <v>203</v>
      </c>
      <c r="B1114">
        <v>90</v>
      </c>
      <c r="C1114" t="s">
        <v>202</v>
      </c>
      <c r="D1114">
        <v>2633</v>
      </c>
      <c r="F1114" s="1">
        <v>0.27250000000000002</v>
      </c>
      <c r="G1114" s="1">
        <v>1.09E-2</v>
      </c>
      <c r="H1114" s="1">
        <v>0.71660000000000001</v>
      </c>
    </row>
    <row r="1115" spans="1:10" x14ac:dyDescent="0.25">
      <c r="A1115" t="s">
        <v>204</v>
      </c>
      <c r="B1115">
        <v>2633</v>
      </c>
      <c r="C1115" t="s">
        <v>204</v>
      </c>
      <c r="D1115">
        <v>2633</v>
      </c>
      <c r="E1115" s="1">
        <v>5.9999999999999995E-4</v>
      </c>
      <c r="F1115" s="1">
        <v>0.77080000000000004</v>
      </c>
      <c r="G1115" s="1">
        <v>6.9999999999999999E-4</v>
      </c>
      <c r="H1115" s="1">
        <v>0.22789999999999999</v>
      </c>
    </row>
    <row r="1117" spans="1:10" x14ac:dyDescent="0.25">
      <c r="A1117" t="s">
        <v>378</v>
      </c>
    </row>
    <row r="1118" spans="1:10" x14ac:dyDescent="0.25">
      <c r="A1118" t="s">
        <v>190</v>
      </c>
      <c r="B1118" t="s">
        <v>195</v>
      </c>
      <c r="C1118" t="s">
        <v>189</v>
      </c>
      <c r="D1118" t="s">
        <v>196</v>
      </c>
      <c r="E1118" t="s">
        <v>379</v>
      </c>
      <c r="F1118" t="s">
        <v>380</v>
      </c>
      <c r="G1118" t="s">
        <v>381</v>
      </c>
      <c r="H1118" t="s">
        <v>382</v>
      </c>
      <c r="I1118" t="s">
        <v>383</v>
      </c>
      <c r="J1118" t="s">
        <v>384</v>
      </c>
    </row>
    <row r="1119" spans="1:10" x14ac:dyDescent="0.25">
      <c r="A1119" t="s">
        <v>198</v>
      </c>
      <c r="B1119">
        <v>82</v>
      </c>
      <c r="C1119" t="s">
        <v>197</v>
      </c>
      <c r="D1119">
        <v>1394</v>
      </c>
      <c r="E1119" s="1">
        <v>3.3099999999999997E-2</v>
      </c>
      <c r="F1119" s="1">
        <v>0.74039999999999995</v>
      </c>
      <c r="G1119" s="1">
        <v>7.7899999999999997E-2</v>
      </c>
      <c r="H1119" s="1">
        <v>5.2600000000000001E-2</v>
      </c>
      <c r="I1119" s="1">
        <v>4.2900000000000001E-2</v>
      </c>
      <c r="J1119" s="1">
        <v>5.3100000000000001E-2</v>
      </c>
    </row>
    <row r="1120" spans="1:10" x14ac:dyDescent="0.25">
      <c r="A1120" t="s">
        <v>198</v>
      </c>
      <c r="B1120">
        <v>368</v>
      </c>
      <c r="C1120" t="s">
        <v>199</v>
      </c>
      <c r="D1120">
        <v>1394</v>
      </c>
      <c r="E1120" s="1">
        <v>1.52E-2</v>
      </c>
      <c r="F1120" s="1">
        <v>0.83260000000000001</v>
      </c>
      <c r="G1120" s="1">
        <v>2.3199999999999998E-2</v>
      </c>
      <c r="H1120" s="1">
        <v>3.7499999999999999E-2</v>
      </c>
      <c r="I1120" s="1">
        <v>7.17E-2</v>
      </c>
      <c r="J1120" s="1">
        <v>1.9900000000000001E-2</v>
      </c>
    </row>
    <row r="1121" spans="1:20" x14ac:dyDescent="0.25">
      <c r="A1121" t="s">
        <v>198</v>
      </c>
      <c r="B1121">
        <v>387</v>
      </c>
      <c r="C1121" t="s">
        <v>200</v>
      </c>
      <c r="D1121">
        <v>1394</v>
      </c>
      <c r="E1121" s="1">
        <v>2.9499999999999998E-2</v>
      </c>
      <c r="F1121" s="1">
        <v>0.75819999999999999</v>
      </c>
      <c r="G1121" s="1">
        <v>0.06</v>
      </c>
      <c r="H1121" s="1">
        <v>7.0199999999999999E-2</v>
      </c>
      <c r="I1121" s="1">
        <v>7.4800000000000005E-2</v>
      </c>
      <c r="J1121" s="1">
        <v>7.4000000000000003E-3</v>
      </c>
    </row>
    <row r="1122" spans="1:20" x14ac:dyDescent="0.25">
      <c r="A1122" t="s">
        <v>198</v>
      </c>
      <c r="B1122">
        <v>256</v>
      </c>
      <c r="C1122" t="s">
        <v>201</v>
      </c>
      <c r="D1122">
        <v>1394</v>
      </c>
      <c r="E1122" s="1">
        <v>1.7999999999999999E-2</v>
      </c>
      <c r="F1122" s="1">
        <v>0.80089999999999995</v>
      </c>
      <c r="G1122" s="1">
        <v>3.3399999999999999E-2</v>
      </c>
      <c r="H1122" s="1">
        <v>6.2E-2</v>
      </c>
      <c r="I1122" s="1">
        <v>5.6099999999999997E-2</v>
      </c>
      <c r="J1122" s="1">
        <v>2.9600000000000001E-2</v>
      </c>
    </row>
    <row r="1123" spans="1:20" x14ac:dyDescent="0.25">
      <c r="A1123" t="s">
        <v>198</v>
      </c>
      <c r="B1123">
        <v>96</v>
      </c>
      <c r="C1123" t="s">
        <v>202</v>
      </c>
      <c r="D1123">
        <v>1394</v>
      </c>
      <c r="E1123" s="1">
        <v>2.7300000000000001E-2</v>
      </c>
      <c r="F1123" s="1">
        <v>0.82310000000000005</v>
      </c>
      <c r="G1123" s="1">
        <v>3.56E-2</v>
      </c>
      <c r="H1123" s="1">
        <v>3.2599999999999997E-2</v>
      </c>
      <c r="I1123" s="1">
        <v>7.1900000000000006E-2</v>
      </c>
      <c r="J1123" s="1">
        <v>9.4999999999999998E-3</v>
      </c>
    </row>
    <row r="1124" spans="1:20" x14ac:dyDescent="0.25">
      <c r="A1124" t="s">
        <v>203</v>
      </c>
      <c r="B1124">
        <v>92</v>
      </c>
      <c r="C1124" t="s">
        <v>199</v>
      </c>
      <c r="D1124">
        <v>1394</v>
      </c>
      <c r="E1124" s="1">
        <v>0.15140000000000001</v>
      </c>
      <c r="F1124" s="1">
        <v>0.42630000000000001</v>
      </c>
      <c r="G1124" s="1">
        <v>6.2600000000000003E-2</v>
      </c>
      <c r="H1124" s="1">
        <v>0.17849999999999999</v>
      </c>
      <c r="I1124" s="1">
        <v>0.16300000000000001</v>
      </c>
      <c r="J1124" s="1">
        <v>1.8200000000000001E-2</v>
      </c>
    </row>
    <row r="1125" spans="1:20" x14ac:dyDescent="0.25">
      <c r="A1125" t="s">
        <v>203</v>
      </c>
      <c r="B1125">
        <v>51</v>
      </c>
      <c r="C1125" t="s">
        <v>200</v>
      </c>
      <c r="D1125">
        <v>1394</v>
      </c>
      <c r="E1125" s="1">
        <v>5.8200000000000002E-2</v>
      </c>
      <c r="F1125" s="1">
        <v>0.69199999999999995</v>
      </c>
      <c r="G1125" s="1">
        <v>1E-3</v>
      </c>
      <c r="H1125" s="1">
        <v>1.8100000000000002E-2</v>
      </c>
      <c r="I1125" s="1">
        <v>0.20030000000000001</v>
      </c>
      <c r="J1125" s="1">
        <v>3.0300000000000001E-2</v>
      </c>
    </row>
    <row r="1126" spans="1:20" x14ac:dyDescent="0.25">
      <c r="A1126" t="s">
        <v>203</v>
      </c>
      <c r="B1126">
        <v>52</v>
      </c>
      <c r="C1126" t="s">
        <v>201</v>
      </c>
      <c r="D1126">
        <v>1394</v>
      </c>
      <c r="F1126" s="1">
        <v>0.63190000000000002</v>
      </c>
      <c r="G1126" s="1">
        <v>0.12280000000000001</v>
      </c>
      <c r="H1126" s="1">
        <v>0.12479999999999999</v>
      </c>
      <c r="I1126" s="1">
        <v>4.02E-2</v>
      </c>
      <c r="J1126" s="1">
        <v>8.0199999999999994E-2</v>
      </c>
    </row>
    <row r="1127" spans="1:20" s="29" customFormat="1" x14ac:dyDescent="0.25">
      <c r="A1127" s="29" t="s">
        <v>203</v>
      </c>
      <c r="B1127" s="29">
        <v>10</v>
      </c>
      <c r="C1127" s="29" t="s">
        <v>202</v>
      </c>
      <c r="D1127" s="29">
        <v>1394</v>
      </c>
      <c r="F1127" s="30">
        <v>0.84119999999999995</v>
      </c>
      <c r="G1127" s="30">
        <v>2.2800000000000001E-2</v>
      </c>
      <c r="H1127" s="30">
        <v>5.3600000000000002E-2</v>
      </c>
      <c r="I1127" s="30">
        <v>8.2400000000000001E-2</v>
      </c>
    </row>
    <row r="1128" spans="1:20" x14ac:dyDescent="0.25">
      <c r="A1128" t="s">
        <v>204</v>
      </c>
      <c r="B1128">
        <v>1394</v>
      </c>
      <c r="C1128" t="s">
        <v>204</v>
      </c>
      <c r="D1128">
        <v>1394</v>
      </c>
      <c r="E1128" s="1">
        <v>2.8500000000000001E-2</v>
      </c>
      <c r="F1128" s="1">
        <v>0.77959999999999996</v>
      </c>
      <c r="G1128" s="1">
        <v>4.36E-2</v>
      </c>
      <c r="H1128" s="1">
        <v>5.2699999999999997E-2</v>
      </c>
      <c r="I1128" s="1">
        <v>7.4999999999999997E-2</v>
      </c>
      <c r="J1128" s="1">
        <v>2.06E-2</v>
      </c>
    </row>
    <row r="1130" spans="1:20" x14ac:dyDescent="0.25">
      <c r="A1130" t="s">
        <v>385</v>
      </c>
    </row>
    <row r="1131" spans="1:20" x14ac:dyDescent="0.25">
      <c r="A1131" t="s">
        <v>190</v>
      </c>
      <c r="B1131" t="s">
        <v>206</v>
      </c>
      <c r="C1131" t="s">
        <v>195</v>
      </c>
      <c r="D1131" t="s">
        <v>189</v>
      </c>
      <c r="E1131" t="s">
        <v>196</v>
      </c>
      <c r="F1131" t="s">
        <v>386</v>
      </c>
      <c r="G1131" t="s">
        <v>387</v>
      </c>
      <c r="H1131" t="s">
        <v>388</v>
      </c>
      <c r="I1131" t="s">
        <v>389</v>
      </c>
      <c r="J1131" t="s">
        <v>390</v>
      </c>
      <c r="K1131" t="s">
        <v>391</v>
      </c>
      <c r="L1131" t="s">
        <v>392</v>
      </c>
      <c r="M1131" t="s">
        <v>393</v>
      </c>
      <c r="N1131" t="s">
        <v>394</v>
      </c>
      <c r="O1131" t="s">
        <v>395</v>
      </c>
      <c r="P1131" t="s">
        <v>235</v>
      </c>
      <c r="Q1131" t="s">
        <v>396</v>
      </c>
      <c r="R1131" t="s">
        <v>215</v>
      </c>
      <c r="S1131" t="s">
        <v>397</v>
      </c>
      <c r="T1131" t="s">
        <v>398</v>
      </c>
    </row>
    <row r="1132" spans="1:20" x14ac:dyDescent="0.25">
      <c r="A1132" t="s">
        <v>203</v>
      </c>
      <c r="B1132" t="s">
        <v>228</v>
      </c>
      <c r="C1132">
        <v>147</v>
      </c>
      <c r="D1132" t="s">
        <v>199</v>
      </c>
      <c r="E1132">
        <v>1432</v>
      </c>
      <c r="F1132" s="1">
        <v>0.1215</v>
      </c>
      <c r="G1132" s="1">
        <v>4.8999999999999998E-3</v>
      </c>
      <c r="H1132" s="1">
        <v>4.8999999999999998E-3</v>
      </c>
      <c r="I1132" s="1">
        <v>0.17910000000000001</v>
      </c>
      <c r="J1132" s="1">
        <v>0.14199999999999999</v>
      </c>
      <c r="K1132" s="1">
        <v>2.8799999999999999E-2</v>
      </c>
      <c r="L1132" s="1">
        <v>6.7000000000000002E-3</v>
      </c>
      <c r="M1132" s="1">
        <v>1.0699999999999999E-2</v>
      </c>
      <c r="N1132" s="1">
        <v>0.1048</v>
      </c>
      <c r="Q1132" s="1">
        <v>0.3422</v>
      </c>
      <c r="S1132" s="1">
        <v>0.35610000000000003</v>
      </c>
      <c r="T1132" s="1">
        <v>2.58E-2</v>
      </c>
    </row>
    <row r="1133" spans="1:20" x14ac:dyDescent="0.25">
      <c r="A1133" t="s">
        <v>203</v>
      </c>
      <c r="B1133" t="s">
        <v>229</v>
      </c>
      <c r="C1133">
        <v>367</v>
      </c>
      <c r="D1133" t="s">
        <v>199</v>
      </c>
      <c r="E1133">
        <v>1432</v>
      </c>
      <c r="F1133" s="1">
        <v>0.1646</v>
      </c>
      <c r="G1133" s="1">
        <v>9.4999999999999998E-3</v>
      </c>
      <c r="H1133" s="1">
        <v>3.0000000000000001E-3</v>
      </c>
      <c r="I1133" s="1">
        <v>0.27329999999999999</v>
      </c>
      <c r="J1133" s="1">
        <v>9.9500000000000005E-2</v>
      </c>
      <c r="K1133" s="1">
        <v>3.8100000000000002E-2</v>
      </c>
      <c r="L1133" s="1">
        <v>8.8000000000000005E-3</v>
      </c>
      <c r="M1133" s="1">
        <v>3.6999999999999998E-2</v>
      </c>
      <c r="N1133" s="1">
        <v>8.5400000000000004E-2</v>
      </c>
      <c r="O1133" s="1">
        <v>1.1999999999999999E-3</v>
      </c>
      <c r="P1133" s="1">
        <v>2.0999999999999999E-3</v>
      </c>
      <c r="Q1133" s="1">
        <v>0.54849999999999999</v>
      </c>
      <c r="R1133" s="1">
        <v>1.9E-3</v>
      </c>
      <c r="S1133" s="1">
        <v>0.29670000000000002</v>
      </c>
      <c r="T1133" s="1">
        <v>1.6E-2</v>
      </c>
    </row>
    <row r="1134" spans="1:20" x14ac:dyDescent="0.25">
      <c r="A1134" t="s">
        <v>203</v>
      </c>
      <c r="B1134" t="s">
        <v>228</v>
      </c>
      <c r="C1134">
        <v>154</v>
      </c>
      <c r="D1134" t="s">
        <v>200</v>
      </c>
      <c r="E1134">
        <v>1432</v>
      </c>
      <c r="F1134" s="1">
        <v>5.1400000000000001E-2</v>
      </c>
      <c r="I1134" s="1">
        <v>0.1326</v>
      </c>
      <c r="J1134" s="1">
        <v>0.26150000000000001</v>
      </c>
      <c r="K1134" s="1">
        <v>2.0799999999999999E-2</v>
      </c>
      <c r="L1134" s="1">
        <v>1.04E-2</v>
      </c>
      <c r="M1134" s="1">
        <v>1.35E-2</v>
      </c>
      <c r="N1134" s="1">
        <v>4.6300000000000001E-2</v>
      </c>
      <c r="Q1134" s="1">
        <v>0.2727</v>
      </c>
      <c r="R1134" s="1">
        <v>9.7999999999999997E-3</v>
      </c>
      <c r="S1134" s="1">
        <v>0.76380000000000003</v>
      </c>
      <c r="T1134" s="1">
        <v>2.0799999999999999E-2</v>
      </c>
    </row>
    <row r="1135" spans="1:20" x14ac:dyDescent="0.25">
      <c r="A1135" t="s">
        <v>203</v>
      </c>
      <c r="B1135" t="s">
        <v>229</v>
      </c>
      <c r="C1135">
        <v>344</v>
      </c>
      <c r="D1135" t="s">
        <v>200</v>
      </c>
      <c r="E1135">
        <v>1432</v>
      </c>
      <c r="F1135" s="1">
        <v>0.125</v>
      </c>
      <c r="G1135" s="1">
        <v>1.3299999999999999E-2</v>
      </c>
      <c r="H1135" s="1">
        <v>6.9999999999999999E-4</v>
      </c>
      <c r="I1135" s="1">
        <v>0.14810000000000001</v>
      </c>
      <c r="J1135" s="1">
        <v>0.18920000000000001</v>
      </c>
      <c r="K1135" s="1">
        <v>2.35E-2</v>
      </c>
      <c r="L1135" s="1">
        <v>1.84E-2</v>
      </c>
      <c r="M1135" s="1">
        <v>4.1799999999999997E-2</v>
      </c>
      <c r="N1135" s="1">
        <v>3.9199999999999999E-2</v>
      </c>
      <c r="O1135" s="1">
        <v>1.1000000000000001E-3</v>
      </c>
      <c r="P1135" s="1">
        <v>1.2E-2</v>
      </c>
      <c r="Q1135" s="1">
        <v>0.39219999999999999</v>
      </c>
      <c r="R1135" s="1">
        <v>2.2000000000000001E-3</v>
      </c>
      <c r="S1135" s="1">
        <v>0.6653</v>
      </c>
      <c r="T1135" s="1">
        <v>1.21E-2</v>
      </c>
    </row>
    <row r="1136" spans="1:20" x14ac:dyDescent="0.25">
      <c r="A1136" t="s">
        <v>203</v>
      </c>
      <c r="B1136" t="s">
        <v>228</v>
      </c>
      <c r="C1136">
        <v>177</v>
      </c>
      <c r="D1136" t="s">
        <v>201</v>
      </c>
      <c r="E1136">
        <v>1432</v>
      </c>
      <c r="F1136" s="1">
        <v>0.28689999999999999</v>
      </c>
      <c r="G1136" s="1">
        <v>8.8000000000000005E-3</v>
      </c>
      <c r="I1136" s="1">
        <v>0.13450000000000001</v>
      </c>
      <c r="J1136" s="1">
        <v>0.1062</v>
      </c>
      <c r="K1136" s="1">
        <v>3.3599999999999998E-2</v>
      </c>
      <c r="L1136" s="1">
        <v>3.0000000000000001E-3</v>
      </c>
      <c r="M1136" s="1">
        <v>5.8500000000000003E-2</v>
      </c>
      <c r="N1136" s="1">
        <v>8.2900000000000001E-2</v>
      </c>
      <c r="O1136" s="1">
        <v>8.5000000000000006E-3</v>
      </c>
      <c r="P1136" s="1">
        <v>7.9000000000000008E-3</v>
      </c>
      <c r="Q1136" s="1">
        <v>0.438</v>
      </c>
      <c r="S1136" s="1">
        <v>0.3548</v>
      </c>
      <c r="T1136" s="1">
        <v>7.7000000000000002E-3</v>
      </c>
    </row>
    <row r="1137" spans="1:20" x14ac:dyDescent="0.25">
      <c r="A1137" t="s">
        <v>203</v>
      </c>
      <c r="B1137" t="s">
        <v>229</v>
      </c>
      <c r="C1137">
        <v>136</v>
      </c>
      <c r="D1137" t="s">
        <v>201</v>
      </c>
      <c r="E1137">
        <v>1432</v>
      </c>
      <c r="F1137" s="1">
        <v>0.1163</v>
      </c>
      <c r="G1137" s="1">
        <v>1.9900000000000001E-2</v>
      </c>
      <c r="I1137" s="1">
        <v>0.24260000000000001</v>
      </c>
      <c r="J1137" s="1">
        <v>0.14610000000000001</v>
      </c>
      <c r="K1137" s="1">
        <v>1.41E-2</v>
      </c>
      <c r="L1137" s="1">
        <v>2.1399999999999999E-2</v>
      </c>
      <c r="M1137" s="1">
        <v>7.1099999999999997E-2</v>
      </c>
      <c r="N1137" s="1">
        <v>4.7600000000000003E-2</v>
      </c>
      <c r="O1137" s="1">
        <v>2.4500000000000001E-2</v>
      </c>
      <c r="Q1137" s="1">
        <v>0.60950000000000004</v>
      </c>
      <c r="R1137" s="1">
        <v>9.1999999999999998E-3</v>
      </c>
      <c r="S1137" s="1">
        <v>0.29049999999999998</v>
      </c>
      <c r="T1137" s="1">
        <v>6.1000000000000004E-3</v>
      </c>
    </row>
    <row r="1138" spans="1:20" x14ac:dyDescent="0.25">
      <c r="A1138" t="s">
        <v>203</v>
      </c>
      <c r="B1138" t="s">
        <v>228</v>
      </c>
      <c r="C1138">
        <v>34</v>
      </c>
      <c r="D1138" t="s">
        <v>202</v>
      </c>
      <c r="E1138">
        <v>1432</v>
      </c>
      <c r="F1138" s="1">
        <v>1.32E-2</v>
      </c>
      <c r="I1138" s="1">
        <v>4.9399999999999999E-2</v>
      </c>
      <c r="M1138" s="1">
        <v>5.1999999999999998E-2</v>
      </c>
      <c r="N1138" s="1">
        <v>3.1E-2</v>
      </c>
      <c r="O1138" s="1">
        <v>6.7199999999999996E-2</v>
      </c>
      <c r="Q1138" s="1">
        <v>0.59960000000000002</v>
      </c>
      <c r="R1138" s="1">
        <v>3.8399999999999997E-2</v>
      </c>
      <c r="S1138" s="1">
        <v>0.38400000000000001</v>
      </c>
      <c r="T1138" s="1">
        <v>2.0899999999999998E-2</v>
      </c>
    </row>
    <row r="1139" spans="1:20" x14ac:dyDescent="0.25">
      <c r="A1139" t="s">
        <v>203</v>
      </c>
      <c r="B1139" t="s">
        <v>229</v>
      </c>
      <c r="C1139">
        <v>55</v>
      </c>
      <c r="D1139" t="s">
        <v>202</v>
      </c>
      <c r="E1139">
        <v>1432</v>
      </c>
      <c r="F1139" s="1">
        <v>5.1700000000000003E-2</v>
      </c>
      <c r="G1139" s="1">
        <v>7.0000000000000001E-3</v>
      </c>
      <c r="I1139" s="1">
        <v>0.10050000000000001</v>
      </c>
      <c r="J1139" s="1">
        <v>8.2299999999999998E-2</v>
      </c>
      <c r="K1139" s="1">
        <v>8.14E-2</v>
      </c>
      <c r="L1139" s="1">
        <v>7.0000000000000001E-3</v>
      </c>
      <c r="M1139" s="1">
        <v>2.4799999999999999E-2</v>
      </c>
      <c r="O1139" s="1">
        <v>1.24E-2</v>
      </c>
      <c r="P1139" s="1">
        <v>2.5999999999999999E-2</v>
      </c>
      <c r="Q1139" s="1">
        <v>0.62480000000000002</v>
      </c>
      <c r="R1139" s="1">
        <v>1.4E-2</v>
      </c>
      <c r="S1139" s="1">
        <v>0.33639999999999998</v>
      </c>
    </row>
    <row r="1140" spans="1:20" x14ac:dyDescent="0.25">
      <c r="A1140" t="s">
        <v>204</v>
      </c>
      <c r="B1140" t="s">
        <v>204</v>
      </c>
      <c r="C1140">
        <v>1432</v>
      </c>
      <c r="D1140" t="s">
        <v>204</v>
      </c>
      <c r="E1140">
        <v>1432</v>
      </c>
      <c r="F1140" s="1">
        <v>0.1208</v>
      </c>
      <c r="G1140" s="1">
        <v>1.04E-2</v>
      </c>
      <c r="H1140" s="1">
        <v>1.4E-3</v>
      </c>
      <c r="I1140" s="1">
        <v>0.17519999999999999</v>
      </c>
      <c r="J1140" s="1">
        <v>0.159</v>
      </c>
      <c r="K1140" s="1">
        <v>2.92E-2</v>
      </c>
      <c r="L1140" s="1">
        <v>1.38E-2</v>
      </c>
      <c r="M1140" s="1">
        <v>3.8600000000000002E-2</v>
      </c>
      <c r="N1140" s="1">
        <v>5.0500000000000003E-2</v>
      </c>
      <c r="O1140" s="1">
        <v>5.4000000000000003E-3</v>
      </c>
      <c r="P1140" s="1">
        <v>7.7999999999999996E-3</v>
      </c>
      <c r="Q1140" s="1">
        <v>0.4501</v>
      </c>
      <c r="R1140" s="1">
        <v>5.1000000000000004E-3</v>
      </c>
      <c r="S1140" s="1">
        <v>0.52339999999999998</v>
      </c>
      <c r="T1140" s="1">
        <v>1.3100000000000001E-2</v>
      </c>
    </row>
    <row r="1142" spans="1:20" x14ac:dyDescent="0.25">
      <c r="A1142" t="s">
        <v>399</v>
      </c>
    </row>
    <row r="1143" spans="1:20" x14ac:dyDescent="0.25">
      <c r="A1143" t="s">
        <v>190</v>
      </c>
      <c r="B1143" t="s">
        <v>206</v>
      </c>
      <c r="C1143" t="s">
        <v>195</v>
      </c>
      <c r="D1143" t="s">
        <v>189</v>
      </c>
      <c r="E1143" t="s">
        <v>196</v>
      </c>
      <c r="F1143" t="s">
        <v>386</v>
      </c>
      <c r="G1143" t="s">
        <v>387</v>
      </c>
      <c r="H1143" t="s">
        <v>388</v>
      </c>
      <c r="I1143" t="s">
        <v>389</v>
      </c>
      <c r="J1143" t="s">
        <v>390</v>
      </c>
      <c r="K1143" t="s">
        <v>391</v>
      </c>
      <c r="L1143" t="s">
        <v>392</v>
      </c>
      <c r="M1143" t="s">
        <v>393</v>
      </c>
      <c r="N1143" t="s">
        <v>394</v>
      </c>
      <c r="O1143" t="s">
        <v>395</v>
      </c>
      <c r="P1143" t="s">
        <v>235</v>
      </c>
      <c r="Q1143" t="s">
        <v>396</v>
      </c>
      <c r="R1143" t="s">
        <v>215</v>
      </c>
      <c r="S1143" t="s">
        <v>397</v>
      </c>
      <c r="T1143" t="s">
        <v>398</v>
      </c>
    </row>
    <row r="1144" spans="1:20" x14ac:dyDescent="0.25">
      <c r="A1144" t="s">
        <v>203</v>
      </c>
      <c r="B1144" t="s">
        <v>348</v>
      </c>
      <c r="C1144">
        <v>41</v>
      </c>
      <c r="D1144" t="s">
        <v>199</v>
      </c>
      <c r="E1144">
        <v>1432</v>
      </c>
      <c r="F1144" s="1">
        <v>0.10440000000000001</v>
      </c>
      <c r="I1144" s="1">
        <v>0.1759</v>
      </c>
      <c r="J1144" s="1">
        <v>4.02E-2</v>
      </c>
      <c r="M1144" s="1">
        <v>1.01E-2</v>
      </c>
      <c r="N1144" s="1">
        <v>1.01E-2</v>
      </c>
      <c r="P1144" s="1">
        <v>3.2099999999999997E-2</v>
      </c>
      <c r="Q1144" s="1">
        <v>0.69940000000000002</v>
      </c>
      <c r="S1144" s="1">
        <v>0.36670000000000003</v>
      </c>
    </row>
    <row r="1145" spans="1:20" x14ac:dyDescent="0.25">
      <c r="A1145" t="s">
        <v>203</v>
      </c>
      <c r="B1145" t="s">
        <v>349</v>
      </c>
      <c r="C1145">
        <v>169</v>
      </c>
      <c r="D1145" t="s">
        <v>199</v>
      </c>
      <c r="E1145">
        <v>1432</v>
      </c>
      <c r="F1145" s="1">
        <v>9.4E-2</v>
      </c>
      <c r="I1145" s="1">
        <v>0.2364</v>
      </c>
      <c r="J1145" s="1">
        <v>7.6700000000000004E-2</v>
      </c>
      <c r="K1145" s="1">
        <v>7.0099999999999996E-2</v>
      </c>
      <c r="L1145" s="1">
        <v>4.3E-3</v>
      </c>
      <c r="M1145" s="1">
        <v>1.4800000000000001E-2</v>
      </c>
      <c r="N1145" s="1">
        <v>6.93E-2</v>
      </c>
      <c r="Q1145" s="1">
        <v>0.53380000000000005</v>
      </c>
      <c r="S1145" s="1">
        <v>0.50029999999999997</v>
      </c>
      <c r="T1145" s="1">
        <v>8.0000000000000002E-3</v>
      </c>
    </row>
    <row r="1146" spans="1:20" x14ac:dyDescent="0.25">
      <c r="A1146" t="s">
        <v>203</v>
      </c>
      <c r="B1146" t="s">
        <v>350</v>
      </c>
      <c r="C1146">
        <v>304</v>
      </c>
      <c r="D1146" t="s">
        <v>199</v>
      </c>
      <c r="E1146">
        <v>1432</v>
      </c>
      <c r="F1146" s="1">
        <v>0.19750000000000001</v>
      </c>
      <c r="G1146" s="1">
        <v>1.4200000000000001E-2</v>
      </c>
      <c r="H1146" s="1">
        <v>5.1000000000000004E-3</v>
      </c>
      <c r="I1146" s="1">
        <v>0.28289999999999998</v>
      </c>
      <c r="J1146" s="1">
        <v>0.1221</v>
      </c>
      <c r="K1146" s="1">
        <v>2.2700000000000001E-2</v>
      </c>
      <c r="L1146" s="1">
        <v>1.14E-2</v>
      </c>
      <c r="M1146" s="1">
        <v>4.5699999999999998E-2</v>
      </c>
      <c r="N1146" s="1">
        <v>0.1018</v>
      </c>
      <c r="O1146" s="1">
        <v>1.6999999999999999E-3</v>
      </c>
      <c r="P1146" s="1">
        <v>8.9999999999999998E-4</v>
      </c>
      <c r="Q1146" s="1">
        <v>0.51200000000000001</v>
      </c>
      <c r="R1146" s="1">
        <v>2.7000000000000001E-3</v>
      </c>
      <c r="S1146" s="1">
        <v>0.1978</v>
      </c>
      <c r="T1146" s="1">
        <v>2.2800000000000001E-2</v>
      </c>
    </row>
    <row r="1147" spans="1:20" x14ac:dyDescent="0.25">
      <c r="A1147" t="s">
        <v>203</v>
      </c>
      <c r="B1147" t="s">
        <v>348</v>
      </c>
      <c r="C1147">
        <v>299</v>
      </c>
      <c r="D1147" t="s">
        <v>200</v>
      </c>
      <c r="E1147">
        <v>1432</v>
      </c>
      <c r="F1147" s="1">
        <v>0.1178</v>
      </c>
      <c r="G1147" s="1">
        <v>1.21E-2</v>
      </c>
      <c r="I1147" s="1">
        <v>0.15160000000000001</v>
      </c>
      <c r="J1147" s="1">
        <v>0.2044</v>
      </c>
      <c r="K1147" s="1">
        <v>2.4E-2</v>
      </c>
      <c r="L1147" s="1">
        <v>1.9E-2</v>
      </c>
      <c r="M1147" s="1">
        <v>3.5499999999999997E-2</v>
      </c>
      <c r="N1147" s="1">
        <v>3.4099999999999998E-2</v>
      </c>
      <c r="O1147" s="1">
        <v>5.0000000000000001E-4</v>
      </c>
      <c r="P1147" s="1">
        <v>1.03E-2</v>
      </c>
      <c r="Q1147" s="1">
        <v>0.36370000000000002</v>
      </c>
      <c r="R1147" s="1">
        <v>4.1000000000000003E-3</v>
      </c>
      <c r="S1147" s="1">
        <v>0.68389999999999995</v>
      </c>
      <c r="T1147" s="1">
        <v>1.4800000000000001E-2</v>
      </c>
    </row>
    <row r="1148" spans="1:20" x14ac:dyDescent="0.25">
      <c r="A1148" t="s">
        <v>203</v>
      </c>
      <c r="B1148" t="s">
        <v>349</v>
      </c>
      <c r="C1148">
        <v>106</v>
      </c>
      <c r="D1148" t="s">
        <v>200</v>
      </c>
      <c r="E1148">
        <v>1432</v>
      </c>
      <c r="F1148" s="1">
        <v>4.7800000000000002E-2</v>
      </c>
      <c r="H1148" s="1">
        <v>7.4999999999999997E-3</v>
      </c>
      <c r="I1148" s="1">
        <v>0.1166</v>
      </c>
      <c r="J1148" s="1">
        <v>0.16689999999999999</v>
      </c>
      <c r="M1148" s="1">
        <v>2.8899999999999999E-2</v>
      </c>
      <c r="N1148" s="1">
        <v>0.11</v>
      </c>
      <c r="Q1148" s="1">
        <v>0.42730000000000001</v>
      </c>
      <c r="S1148" s="1">
        <v>0.7742</v>
      </c>
    </row>
    <row r="1149" spans="1:20" x14ac:dyDescent="0.25">
      <c r="A1149" t="s">
        <v>203</v>
      </c>
      <c r="B1149" t="s">
        <v>350</v>
      </c>
      <c r="C1149">
        <v>93</v>
      </c>
      <c r="D1149" t="s">
        <v>200</v>
      </c>
      <c r="E1149">
        <v>1432</v>
      </c>
      <c r="F1149" s="1">
        <v>7.8100000000000003E-2</v>
      </c>
      <c r="I1149" s="1">
        <v>4.0800000000000003E-2</v>
      </c>
      <c r="J1149" s="1">
        <v>0.25219999999999998</v>
      </c>
      <c r="K1149" s="1">
        <v>4.8300000000000003E-2</v>
      </c>
      <c r="M1149" s="1">
        <v>7.8100000000000003E-2</v>
      </c>
      <c r="N1149" s="1">
        <v>5.0099999999999999E-2</v>
      </c>
      <c r="O1149" s="1">
        <v>1.38E-2</v>
      </c>
      <c r="P1149" s="1">
        <v>1.55E-2</v>
      </c>
      <c r="Q1149" s="1">
        <v>0.38369999999999999</v>
      </c>
      <c r="S1149" s="1">
        <v>0.4783</v>
      </c>
      <c r="T1149" s="1">
        <v>1.9E-2</v>
      </c>
    </row>
    <row r="1150" spans="1:20" x14ac:dyDescent="0.25">
      <c r="A1150" t="s">
        <v>203</v>
      </c>
      <c r="B1150" t="s">
        <v>348</v>
      </c>
      <c r="C1150">
        <v>62</v>
      </c>
      <c r="D1150" t="s">
        <v>201</v>
      </c>
      <c r="E1150">
        <v>1432</v>
      </c>
      <c r="F1150" s="1">
        <v>0.1416</v>
      </c>
      <c r="G1150" s="1">
        <v>1.9E-2</v>
      </c>
      <c r="I1150" s="1">
        <v>0.17219999999999999</v>
      </c>
      <c r="J1150" s="1">
        <v>6.4999999999999997E-3</v>
      </c>
      <c r="K1150" s="1">
        <v>8.5400000000000004E-2</v>
      </c>
      <c r="L1150" s="1">
        <v>6.4999999999999997E-3</v>
      </c>
      <c r="M1150" s="1">
        <v>3.1600000000000003E-2</v>
      </c>
      <c r="N1150" s="1">
        <v>0.1346</v>
      </c>
      <c r="O1150" s="1">
        <v>0.05</v>
      </c>
      <c r="Q1150" s="1">
        <v>0.49209999999999998</v>
      </c>
      <c r="S1150" s="1">
        <v>0.35210000000000002</v>
      </c>
      <c r="T1150" s="1">
        <v>1.32E-2</v>
      </c>
    </row>
    <row r="1151" spans="1:20" x14ac:dyDescent="0.25">
      <c r="A1151" t="s">
        <v>203</v>
      </c>
      <c r="B1151" t="s">
        <v>349</v>
      </c>
      <c r="C1151">
        <v>147</v>
      </c>
      <c r="D1151" t="s">
        <v>201</v>
      </c>
      <c r="E1151">
        <v>1432</v>
      </c>
      <c r="F1151" s="1">
        <v>0.1641</v>
      </c>
      <c r="G1151" s="1">
        <v>1.7000000000000001E-2</v>
      </c>
      <c r="I1151" s="1">
        <v>0.23230000000000001</v>
      </c>
      <c r="J1151" s="1">
        <v>0.15260000000000001</v>
      </c>
      <c r="K1151" s="1">
        <v>8.5000000000000006E-3</v>
      </c>
      <c r="L1151" s="1">
        <v>1.7000000000000001E-2</v>
      </c>
      <c r="M1151" s="1">
        <v>7.46E-2</v>
      </c>
      <c r="N1151" s="1">
        <v>3.9899999999999998E-2</v>
      </c>
      <c r="O1151" s="1">
        <v>1.7000000000000001E-2</v>
      </c>
      <c r="P1151" s="1">
        <v>2.3E-3</v>
      </c>
      <c r="Q1151" s="1">
        <v>0.59770000000000001</v>
      </c>
      <c r="R1151" s="1">
        <v>8.5000000000000006E-3</v>
      </c>
      <c r="S1151" s="1">
        <v>0.29730000000000001</v>
      </c>
      <c r="T1151" s="1">
        <v>2.0000000000000001E-4</v>
      </c>
    </row>
    <row r="1152" spans="1:20" x14ac:dyDescent="0.25">
      <c r="A1152" t="s">
        <v>203</v>
      </c>
      <c r="B1152" t="s">
        <v>350</v>
      </c>
      <c r="C1152">
        <v>104</v>
      </c>
      <c r="D1152" t="s">
        <v>201</v>
      </c>
      <c r="E1152">
        <v>1432</v>
      </c>
      <c r="F1152" s="1">
        <v>0.1021</v>
      </c>
      <c r="G1152" s="1">
        <v>1.6500000000000001E-2</v>
      </c>
      <c r="I1152" s="1">
        <v>0.1046</v>
      </c>
      <c r="J1152" s="1">
        <v>0.15440000000000001</v>
      </c>
      <c r="K1152" s="1">
        <v>3.3000000000000002E-2</v>
      </c>
      <c r="L1152" s="1">
        <v>3.3000000000000002E-2</v>
      </c>
      <c r="M1152" s="1">
        <v>4.9500000000000002E-2</v>
      </c>
      <c r="N1152" s="1">
        <v>0.1207</v>
      </c>
      <c r="O1152" s="1">
        <v>1.6500000000000001E-2</v>
      </c>
      <c r="Q1152" s="1">
        <v>0.34739999999999999</v>
      </c>
      <c r="S1152" s="1">
        <v>0.3332</v>
      </c>
      <c r="T1152" s="1">
        <v>6.88E-2</v>
      </c>
    </row>
    <row r="1153" spans="1:20" x14ac:dyDescent="0.25">
      <c r="A1153" t="s">
        <v>203</v>
      </c>
      <c r="B1153" t="s">
        <v>348</v>
      </c>
      <c r="C1153">
        <v>89</v>
      </c>
      <c r="D1153" t="s">
        <v>202</v>
      </c>
      <c r="E1153">
        <v>1432</v>
      </c>
      <c r="F1153" s="1">
        <v>4.07E-2</v>
      </c>
      <c r="G1153" s="1">
        <v>5.0000000000000001E-3</v>
      </c>
      <c r="I1153" s="1">
        <v>8.5900000000000004E-2</v>
      </c>
      <c r="J1153" s="1">
        <v>5.8799999999999998E-2</v>
      </c>
      <c r="K1153" s="1">
        <v>5.8200000000000002E-2</v>
      </c>
      <c r="L1153" s="1">
        <v>5.0000000000000001E-3</v>
      </c>
      <c r="M1153" s="1">
        <v>3.2599999999999997E-2</v>
      </c>
      <c r="N1153" s="1">
        <v>8.8999999999999999E-3</v>
      </c>
      <c r="O1153" s="1">
        <v>2.81E-2</v>
      </c>
      <c r="P1153" s="1">
        <v>1.8599999999999998E-2</v>
      </c>
      <c r="Q1153" s="1">
        <v>0.61760000000000004</v>
      </c>
      <c r="R1153" s="1">
        <v>2.1000000000000001E-2</v>
      </c>
      <c r="S1153" s="1">
        <v>0.35</v>
      </c>
      <c r="T1153" s="1">
        <v>6.0000000000000001E-3</v>
      </c>
    </row>
    <row r="1154" spans="1:20" x14ac:dyDescent="0.25">
      <c r="A1154" t="s">
        <v>204</v>
      </c>
      <c r="B1154" t="s">
        <v>204</v>
      </c>
      <c r="C1154">
        <v>1432</v>
      </c>
      <c r="D1154" t="s">
        <v>204</v>
      </c>
      <c r="E1154">
        <v>1432</v>
      </c>
      <c r="F1154" s="1">
        <v>0.1208</v>
      </c>
      <c r="G1154" s="1">
        <v>1.04E-2</v>
      </c>
      <c r="H1154" s="1">
        <v>1.4E-3</v>
      </c>
      <c r="I1154" s="1">
        <v>0.17519999999999999</v>
      </c>
      <c r="J1154" s="1">
        <v>0.159</v>
      </c>
      <c r="K1154" s="1">
        <v>2.92E-2</v>
      </c>
      <c r="L1154" s="1">
        <v>1.38E-2</v>
      </c>
      <c r="M1154" s="1">
        <v>3.8600000000000002E-2</v>
      </c>
      <c r="N1154" s="1">
        <v>5.0500000000000003E-2</v>
      </c>
      <c r="O1154" s="1">
        <v>5.4000000000000003E-3</v>
      </c>
      <c r="P1154" s="1">
        <v>7.7999999999999996E-3</v>
      </c>
      <c r="Q1154" s="1">
        <v>0.4501</v>
      </c>
      <c r="R1154" s="1">
        <v>5.1000000000000004E-3</v>
      </c>
      <c r="S1154" s="1">
        <v>0.52339999999999998</v>
      </c>
      <c r="T1154" s="1">
        <v>1.3100000000000001E-2</v>
      </c>
    </row>
    <row r="1156" spans="1:20" x14ac:dyDescent="0.25">
      <c r="A1156" t="s">
        <v>400</v>
      </c>
    </row>
    <row r="1157" spans="1:20" x14ac:dyDescent="0.25">
      <c r="A1157" t="s">
        <v>190</v>
      </c>
      <c r="B1157" t="s">
        <v>195</v>
      </c>
      <c r="C1157" t="s">
        <v>189</v>
      </c>
      <c r="D1157" t="s">
        <v>196</v>
      </c>
      <c r="E1157" t="s">
        <v>401</v>
      </c>
      <c r="F1157" t="s">
        <v>402</v>
      </c>
      <c r="G1157" t="s">
        <v>403</v>
      </c>
      <c r="H1157" t="s">
        <v>404</v>
      </c>
      <c r="I1157" t="s">
        <v>405</v>
      </c>
      <c r="J1157" t="s">
        <v>406</v>
      </c>
      <c r="K1157" t="s">
        <v>215</v>
      </c>
      <c r="L1157" t="s">
        <v>407</v>
      </c>
    </row>
    <row r="1158" spans="1:20" x14ac:dyDescent="0.25">
      <c r="A1158" t="s">
        <v>198</v>
      </c>
      <c r="B1158">
        <v>82</v>
      </c>
      <c r="C1158" t="s">
        <v>197</v>
      </c>
      <c r="D1158">
        <v>2633</v>
      </c>
      <c r="E1158" s="1">
        <v>1.4999999999999999E-2</v>
      </c>
      <c r="F1158" s="1">
        <v>3.2300000000000002E-2</v>
      </c>
      <c r="H1158" s="1">
        <v>1.0999999999999999E-2</v>
      </c>
      <c r="I1158" s="1">
        <v>7.9100000000000004E-2</v>
      </c>
      <c r="J1158" s="1">
        <v>0.58140000000000003</v>
      </c>
      <c r="L1158" s="1">
        <v>0.28120000000000001</v>
      </c>
    </row>
    <row r="1159" spans="1:20" x14ac:dyDescent="0.25">
      <c r="A1159" t="s">
        <v>198</v>
      </c>
      <c r="B1159">
        <v>368</v>
      </c>
      <c r="C1159" t="s">
        <v>199</v>
      </c>
      <c r="D1159">
        <v>2633</v>
      </c>
      <c r="E1159" s="1">
        <v>1.18E-2</v>
      </c>
      <c r="F1159" s="1">
        <v>5.1700000000000003E-2</v>
      </c>
      <c r="G1159" s="1">
        <v>2.06E-2</v>
      </c>
      <c r="H1159" s="1">
        <v>1.6E-2</v>
      </c>
      <c r="I1159" s="1">
        <v>5.2400000000000002E-2</v>
      </c>
      <c r="J1159" s="1">
        <v>0.59160000000000001</v>
      </c>
      <c r="K1159" s="1">
        <v>2E-3</v>
      </c>
      <c r="L1159" s="1">
        <v>0.25390000000000001</v>
      </c>
    </row>
    <row r="1160" spans="1:20" x14ac:dyDescent="0.25">
      <c r="A1160" t="s">
        <v>198</v>
      </c>
      <c r="B1160">
        <v>387</v>
      </c>
      <c r="C1160" t="s">
        <v>200</v>
      </c>
      <c r="D1160">
        <v>2633</v>
      </c>
      <c r="E1160" s="1">
        <v>3.49E-2</v>
      </c>
      <c r="F1160" s="1">
        <v>1.9099999999999999E-2</v>
      </c>
      <c r="G1160" s="1">
        <v>1.89E-2</v>
      </c>
      <c r="H1160" s="1">
        <v>1E-4</v>
      </c>
      <c r="I1160" s="1">
        <v>6.0199999999999997E-2</v>
      </c>
      <c r="J1160" s="1">
        <v>0.63959999999999995</v>
      </c>
      <c r="K1160" s="1">
        <v>3.0999999999999999E-3</v>
      </c>
      <c r="L1160" s="1">
        <v>0.22409999999999999</v>
      </c>
    </row>
    <row r="1161" spans="1:20" x14ac:dyDescent="0.25">
      <c r="A1161" t="s">
        <v>198</v>
      </c>
      <c r="B1161">
        <v>256</v>
      </c>
      <c r="C1161" t="s">
        <v>201</v>
      </c>
      <c r="D1161">
        <v>2633</v>
      </c>
      <c r="E1161" s="1">
        <v>2.5999999999999999E-3</v>
      </c>
      <c r="F1161" s="1">
        <v>1.2999999999999999E-3</v>
      </c>
      <c r="G1161" s="1">
        <v>4.1000000000000003E-3</v>
      </c>
      <c r="H1161" s="1">
        <v>2.9999999999999997E-4</v>
      </c>
      <c r="I1161" s="1">
        <v>0.1181</v>
      </c>
      <c r="J1161" s="1">
        <v>0.60960000000000003</v>
      </c>
      <c r="L1161" s="1">
        <v>0.26390000000000002</v>
      </c>
    </row>
    <row r="1162" spans="1:20" x14ac:dyDescent="0.25">
      <c r="A1162" t="s">
        <v>198</v>
      </c>
      <c r="B1162">
        <v>96</v>
      </c>
      <c r="C1162" t="s">
        <v>202</v>
      </c>
      <c r="D1162">
        <v>2633</v>
      </c>
      <c r="E1162" s="1">
        <v>9.0399999999999994E-2</v>
      </c>
      <c r="F1162" s="1">
        <v>1.5299999999999999E-2</v>
      </c>
      <c r="G1162" s="1">
        <v>2.5000000000000001E-3</v>
      </c>
      <c r="H1162" s="1">
        <v>9.4999999999999998E-3</v>
      </c>
      <c r="I1162" s="1">
        <v>6.4600000000000005E-2</v>
      </c>
      <c r="J1162" s="1">
        <v>0.61119999999999997</v>
      </c>
      <c r="L1162" s="1">
        <v>0.20660000000000001</v>
      </c>
    </row>
    <row r="1163" spans="1:20" x14ac:dyDescent="0.25">
      <c r="A1163" t="s">
        <v>203</v>
      </c>
      <c r="B1163">
        <v>530</v>
      </c>
      <c r="C1163" t="s">
        <v>199</v>
      </c>
      <c r="D1163">
        <v>2633</v>
      </c>
      <c r="E1163" s="1">
        <v>6.3100000000000003E-2</v>
      </c>
      <c r="F1163" s="1">
        <v>6.93E-2</v>
      </c>
      <c r="G1163" s="1">
        <v>3.0200000000000001E-2</v>
      </c>
      <c r="H1163" s="1">
        <v>1.1000000000000001E-3</v>
      </c>
      <c r="J1163" s="1">
        <v>0.57050000000000001</v>
      </c>
      <c r="L1163" s="1">
        <v>0.26569999999999999</v>
      </c>
    </row>
    <row r="1164" spans="1:20" x14ac:dyDescent="0.25">
      <c r="A1164" t="s">
        <v>203</v>
      </c>
      <c r="B1164">
        <v>503</v>
      </c>
      <c r="C1164" t="s">
        <v>200</v>
      </c>
      <c r="D1164">
        <v>2633</v>
      </c>
      <c r="E1164" s="1">
        <v>2.06E-2</v>
      </c>
      <c r="F1164" s="1">
        <v>3.0000000000000001E-3</v>
      </c>
      <c r="G1164" s="1">
        <v>1E-4</v>
      </c>
      <c r="J1164" s="1">
        <v>0.8488</v>
      </c>
      <c r="K1164" s="1">
        <v>9.5999999999999992E-3</v>
      </c>
      <c r="L1164" s="1">
        <v>0.1178</v>
      </c>
    </row>
    <row r="1165" spans="1:20" x14ac:dyDescent="0.25">
      <c r="A1165" t="s">
        <v>203</v>
      </c>
      <c r="B1165">
        <v>321</v>
      </c>
      <c r="C1165" t="s">
        <v>201</v>
      </c>
      <c r="D1165">
        <v>2633</v>
      </c>
      <c r="E1165" s="1">
        <v>0.1081</v>
      </c>
      <c r="F1165" s="1">
        <v>4.0000000000000002E-4</v>
      </c>
      <c r="G1165" s="1">
        <v>2.3E-3</v>
      </c>
      <c r="J1165" s="1">
        <v>0.68799999999999994</v>
      </c>
      <c r="K1165" s="1">
        <v>2.0999999999999999E-3</v>
      </c>
      <c r="L1165" s="1">
        <v>0.1991</v>
      </c>
    </row>
    <row r="1166" spans="1:20" x14ac:dyDescent="0.25">
      <c r="A1166" t="s">
        <v>203</v>
      </c>
      <c r="B1166">
        <v>90</v>
      </c>
      <c r="C1166" t="s">
        <v>202</v>
      </c>
      <c r="D1166">
        <v>2633</v>
      </c>
      <c r="E1166" s="1">
        <v>9.2100000000000001E-2</v>
      </c>
      <c r="G1166" s="1">
        <v>5.8999999999999999E-3</v>
      </c>
      <c r="J1166" s="1">
        <v>0.81820000000000004</v>
      </c>
      <c r="L1166" s="1">
        <v>8.3799999999999999E-2</v>
      </c>
    </row>
    <row r="1167" spans="1:20" x14ac:dyDescent="0.25">
      <c r="A1167" t="s">
        <v>204</v>
      </c>
      <c r="B1167">
        <v>2633</v>
      </c>
      <c r="C1167" t="s">
        <v>204</v>
      </c>
      <c r="D1167">
        <v>2633</v>
      </c>
      <c r="E1167" s="1">
        <v>4.0599999999999997E-2</v>
      </c>
      <c r="F1167" s="1">
        <v>2.2499999999999999E-2</v>
      </c>
      <c r="G1167" s="1">
        <v>9.7999999999999997E-3</v>
      </c>
      <c r="H1167" s="1">
        <v>3.8E-3</v>
      </c>
      <c r="I1167" s="1">
        <v>3.09E-2</v>
      </c>
      <c r="J1167" s="1">
        <v>0.6925</v>
      </c>
      <c r="K1167" s="1">
        <v>3.7000000000000002E-3</v>
      </c>
      <c r="L1167" s="1">
        <v>0.19620000000000001</v>
      </c>
    </row>
    <row r="1169" spans="1:13" x14ac:dyDescent="0.25">
      <c r="A1169" t="s">
        <v>408</v>
      </c>
    </row>
    <row r="1170" spans="1:13" x14ac:dyDescent="0.25">
      <c r="A1170" t="s">
        <v>190</v>
      </c>
      <c r="B1170" t="s">
        <v>206</v>
      </c>
      <c r="C1170" t="s">
        <v>195</v>
      </c>
      <c r="D1170" t="s">
        <v>189</v>
      </c>
      <c r="E1170" t="s">
        <v>196</v>
      </c>
      <c r="F1170" t="s">
        <v>401</v>
      </c>
      <c r="G1170" t="s">
        <v>402</v>
      </c>
      <c r="H1170" t="s">
        <v>403</v>
      </c>
      <c r="I1170" t="s">
        <v>404</v>
      </c>
      <c r="J1170" t="s">
        <v>405</v>
      </c>
      <c r="K1170" t="s">
        <v>406</v>
      </c>
      <c r="L1170" t="s">
        <v>215</v>
      </c>
      <c r="M1170" t="s">
        <v>407</v>
      </c>
    </row>
    <row r="1171" spans="1:13" x14ac:dyDescent="0.25">
      <c r="A1171" t="s">
        <v>198</v>
      </c>
      <c r="B1171" t="s">
        <v>228</v>
      </c>
      <c r="C1171">
        <v>33</v>
      </c>
      <c r="D1171" t="s">
        <v>197</v>
      </c>
      <c r="E1171">
        <v>2633</v>
      </c>
      <c r="J1171" s="1">
        <v>6.5500000000000003E-2</v>
      </c>
      <c r="K1171" s="1">
        <v>0.64490000000000003</v>
      </c>
      <c r="M1171" s="1">
        <v>0.28960000000000002</v>
      </c>
    </row>
    <row r="1172" spans="1:13" x14ac:dyDescent="0.25">
      <c r="A1172" t="s">
        <v>198</v>
      </c>
      <c r="B1172" t="s">
        <v>229</v>
      </c>
      <c r="C1172">
        <v>49</v>
      </c>
      <c r="D1172" t="s">
        <v>197</v>
      </c>
      <c r="E1172">
        <v>2633</v>
      </c>
      <c r="F1172" s="1">
        <v>2.63E-2</v>
      </c>
      <c r="G1172" s="1">
        <v>5.6800000000000003E-2</v>
      </c>
      <c r="I1172" s="1">
        <v>1.9400000000000001E-2</v>
      </c>
      <c r="J1172" s="1">
        <v>8.9399999999999993E-2</v>
      </c>
      <c r="K1172" s="1">
        <v>0.53320000000000001</v>
      </c>
      <c r="M1172" s="1">
        <v>0.27489999999999998</v>
      </c>
    </row>
    <row r="1173" spans="1:13" x14ac:dyDescent="0.25">
      <c r="A1173" t="s">
        <v>198</v>
      </c>
      <c r="B1173" t="s">
        <v>228</v>
      </c>
      <c r="C1173">
        <v>145</v>
      </c>
      <c r="D1173" t="s">
        <v>199</v>
      </c>
      <c r="E1173">
        <v>2633</v>
      </c>
      <c r="F1173" s="1">
        <v>1.1999999999999999E-3</v>
      </c>
      <c r="G1173" s="1">
        <v>7.2499999999999995E-2</v>
      </c>
      <c r="H1173" s="1">
        <v>2.0999999999999999E-3</v>
      </c>
      <c r="J1173" s="1">
        <v>3.6700000000000003E-2</v>
      </c>
      <c r="K1173" s="1">
        <v>0.58789999999999998</v>
      </c>
      <c r="M1173" s="1">
        <v>0.29970000000000002</v>
      </c>
    </row>
    <row r="1174" spans="1:13" x14ac:dyDescent="0.25">
      <c r="A1174" t="s">
        <v>198</v>
      </c>
      <c r="B1174" t="s">
        <v>229</v>
      </c>
      <c r="C1174">
        <v>213</v>
      </c>
      <c r="D1174" t="s">
        <v>199</v>
      </c>
      <c r="E1174">
        <v>2633</v>
      </c>
      <c r="F1174" s="1">
        <v>1.5599999999999999E-2</v>
      </c>
      <c r="G1174" s="1">
        <v>4.4999999999999998E-2</v>
      </c>
      <c r="H1174" s="1">
        <v>2.7199999999999998E-2</v>
      </c>
      <c r="I1174" s="1">
        <v>2.18E-2</v>
      </c>
      <c r="J1174" s="1">
        <v>5.8400000000000001E-2</v>
      </c>
      <c r="K1174" s="1">
        <v>0.59389999999999998</v>
      </c>
      <c r="L1174" s="1">
        <v>2.7000000000000001E-3</v>
      </c>
      <c r="M1174" s="1">
        <v>0.23549999999999999</v>
      </c>
    </row>
    <row r="1175" spans="1:13" x14ac:dyDescent="0.25">
      <c r="A1175" t="s">
        <v>198</v>
      </c>
      <c r="B1175" t="s">
        <v>229</v>
      </c>
      <c r="C1175">
        <v>270</v>
      </c>
      <c r="D1175" t="s">
        <v>200</v>
      </c>
      <c r="E1175">
        <v>2633</v>
      </c>
      <c r="F1175" s="1">
        <v>4.5100000000000001E-2</v>
      </c>
      <c r="G1175" s="1">
        <v>1.9800000000000002E-2</v>
      </c>
      <c r="H1175" s="1">
        <v>1.89E-2</v>
      </c>
      <c r="J1175" s="1">
        <v>4.53E-2</v>
      </c>
      <c r="K1175" s="1">
        <v>0.63839999999999997</v>
      </c>
      <c r="L1175" s="1">
        <v>4.0000000000000001E-3</v>
      </c>
      <c r="M1175" s="1">
        <v>0.22850000000000001</v>
      </c>
    </row>
    <row r="1176" spans="1:13" x14ac:dyDescent="0.25">
      <c r="A1176" t="s">
        <v>198</v>
      </c>
      <c r="B1176" t="s">
        <v>228</v>
      </c>
      <c r="C1176">
        <v>112</v>
      </c>
      <c r="D1176" t="s">
        <v>200</v>
      </c>
      <c r="E1176">
        <v>2633</v>
      </c>
      <c r="F1176" s="1">
        <v>2.7000000000000001E-3</v>
      </c>
      <c r="G1176" s="1">
        <v>1.7100000000000001E-2</v>
      </c>
      <c r="H1176" s="1">
        <v>1.9599999999999999E-2</v>
      </c>
      <c r="I1176" s="1">
        <v>4.0000000000000002E-4</v>
      </c>
      <c r="J1176" s="1">
        <v>9.1200000000000003E-2</v>
      </c>
      <c r="K1176" s="1">
        <v>0.65300000000000002</v>
      </c>
      <c r="M1176" s="1">
        <v>0.21590000000000001</v>
      </c>
    </row>
    <row r="1177" spans="1:13" x14ac:dyDescent="0.25">
      <c r="A1177" t="s">
        <v>198</v>
      </c>
      <c r="B1177" t="s">
        <v>228</v>
      </c>
      <c r="C1177">
        <v>95</v>
      </c>
      <c r="D1177" t="s">
        <v>201</v>
      </c>
      <c r="E1177">
        <v>2633</v>
      </c>
      <c r="F1177" s="1">
        <v>9.1999999999999998E-3</v>
      </c>
      <c r="H1177" s="1">
        <v>1.3599999999999999E-2</v>
      </c>
      <c r="I1177" s="1">
        <v>1.5E-3</v>
      </c>
      <c r="J1177" s="1">
        <v>0.2283</v>
      </c>
      <c r="K1177" s="1">
        <v>0.55389999999999995</v>
      </c>
      <c r="M1177" s="1">
        <v>0.19339999999999999</v>
      </c>
    </row>
    <row r="1178" spans="1:13" x14ac:dyDescent="0.25">
      <c r="A1178" t="s">
        <v>198</v>
      </c>
      <c r="B1178" t="s">
        <v>229</v>
      </c>
      <c r="C1178">
        <v>155</v>
      </c>
      <c r="D1178" t="s">
        <v>201</v>
      </c>
      <c r="E1178">
        <v>2633</v>
      </c>
      <c r="F1178" s="1">
        <v>8.9999999999999998E-4</v>
      </c>
      <c r="G1178" s="1">
        <v>1.6999999999999999E-3</v>
      </c>
      <c r="H1178" s="1">
        <v>1.6000000000000001E-3</v>
      </c>
      <c r="J1178" s="1">
        <v>8.9499999999999996E-2</v>
      </c>
      <c r="K1178" s="1">
        <v>0.63149999999999995</v>
      </c>
      <c r="M1178" s="1">
        <v>0.27489999999999998</v>
      </c>
    </row>
    <row r="1179" spans="1:13" s="29" customFormat="1" x14ac:dyDescent="0.25">
      <c r="A1179" s="29" t="s">
        <v>198</v>
      </c>
      <c r="B1179" s="29" t="s">
        <v>228</v>
      </c>
      <c r="C1179" s="29">
        <v>28</v>
      </c>
      <c r="D1179" s="29" t="s">
        <v>202</v>
      </c>
      <c r="E1179" s="29">
        <v>2633</v>
      </c>
      <c r="F1179" s="30">
        <v>0.11749999999999999</v>
      </c>
      <c r="H1179" s="30">
        <v>1.0699999999999999E-2</v>
      </c>
      <c r="J1179" s="30">
        <v>0.17130000000000001</v>
      </c>
      <c r="K1179" s="30">
        <v>0.54290000000000005</v>
      </c>
      <c r="M1179" s="30">
        <v>0.15759999999999999</v>
      </c>
    </row>
    <row r="1180" spans="1:13" x14ac:dyDescent="0.25">
      <c r="A1180" t="s">
        <v>198</v>
      </c>
      <c r="B1180" t="s">
        <v>229</v>
      </c>
      <c r="C1180">
        <v>68</v>
      </c>
      <c r="D1180" t="s">
        <v>202</v>
      </c>
      <c r="E1180">
        <v>2633</v>
      </c>
      <c r="F1180" s="1">
        <v>8.2000000000000003E-2</v>
      </c>
      <c r="G1180" s="1">
        <v>0.02</v>
      </c>
      <c r="I1180" s="1">
        <v>1.24E-2</v>
      </c>
      <c r="J1180" s="1">
        <v>3.15E-2</v>
      </c>
      <c r="K1180" s="1">
        <v>0.63229999999999997</v>
      </c>
      <c r="M1180" s="1">
        <v>0.2218</v>
      </c>
    </row>
    <row r="1181" spans="1:13" x14ac:dyDescent="0.25">
      <c r="A1181" t="s">
        <v>203</v>
      </c>
      <c r="B1181" t="s">
        <v>229</v>
      </c>
      <c r="C1181">
        <v>370</v>
      </c>
      <c r="D1181" t="s">
        <v>199</v>
      </c>
      <c r="E1181">
        <v>2633</v>
      </c>
      <c r="F1181" s="1">
        <v>6.1400000000000003E-2</v>
      </c>
      <c r="G1181" s="1">
        <v>7.5999999999999998E-2</v>
      </c>
      <c r="H1181" s="1">
        <v>3.2899999999999999E-2</v>
      </c>
      <c r="I1181" s="1">
        <v>1.1999999999999999E-3</v>
      </c>
      <c r="K1181" s="1">
        <v>0.55069999999999997</v>
      </c>
      <c r="M1181" s="1">
        <v>0.2777</v>
      </c>
    </row>
    <row r="1182" spans="1:13" x14ac:dyDescent="0.25">
      <c r="A1182" t="s">
        <v>203</v>
      </c>
      <c r="B1182" t="s">
        <v>228</v>
      </c>
      <c r="C1182">
        <v>150</v>
      </c>
      <c r="D1182" t="s">
        <v>199</v>
      </c>
      <c r="E1182">
        <v>2633</v>
      </c>
      <c r="F1182" s="1">
        <v>8.0699999999999994E-2</v>
      </c>
      <c r="G1182" s="1">
        <v>1.5100000000000001E-2</v>
      </c>
      <c r="H1182" s="1">
        <v>8.0999999999999996E-3</v>
      </c>
      <c r="K1182" s="1">
        <v>0.75219999999999998</v>
      </c>
      <c r="M1182" s="1">
        <v>0.1439</v>
      </c>
    </row>
    <row r="1183" spans="1:13" x14ac:dyDescent="0.25">
      <c r="A1183" t="s">
        <v>203</v>
      </c>
      <c r="B1183" t="s">
        <v>229</v>
      </c>
      <c r="C1183">
        <v>347</v>
      </c>
      <c r="D1183" t="s">
        <v>200</v>
      </c>
      <c r="E1183">
        <v>2633</v>
      </c>
      <c r="F1183" s="1">
        <v>1.72E-2</v>
      </c>
      <c r="G1183" s="1">
        <v>2.8E-3</v>
      </c>
      <c r="K1183" s="1">
        <v>0.84960000000000002</v>
      </c>
      <c r="L1183" s="1">
        <v>1.2E-2</v>
      </c>
      <c r="M1183" s="1">
        <v>0.11840000000000001</v>
      </c>
    </row>
    <row r="1184" spans="1:13" x14ac:dyDescent="0.25">
      <c r="A1184" t="s">
        <v>203</v>
      </c>
      <c r="B1184" t="s">
        <v>228</v>
      </c>
      <c r="C1184">
        <v>155</v>
      </c>
      <c r="D1184" t="s">
        <v>200</v>
      </c>
      <c r="E1184">
        <v>2633</v>
      </c>
      <c r="F1184" s="1">
        <v>3.49E-2</v>
      </c>
      <c r="G1184" s="1">
        <v>3.8E-3</v>
      </c>
      <c r="H1184" s="1">
        <v>5.9999999999999995E-4</v>
      </c>
      <c r="K1184" s="1">
        <v>0.84619999999999995</v>
      </c>
      <c r="M1184" s="1">
        <v>0.1145</v>
      </c>
    </row>
    <row r="1185" spans="1:13" x14ac:dyDescent="0.25">
      <c r="A1185" t="s">
        <v>203</v>
      </c>
      <c r="B1185" t="s">
        <v>229</v>
      </c>
      <c r="C1185">
        <v>137</v>
      </c>
      <c r="D1185" t="s">
        <v>201</v>
      </c>
      <c r="E1185">
        <v>2633</v>
      </c>
      <c r="F1185" s="1">
        <v>0.1048</v>
      </c>
      <c r="H1185" s="1">
        <v>3.0999999999999999E-3</v>
      </c>
      <c r="K1185" s="1">
        <v>0.71079999999999999</v>
      </c>
      <c r="L1185" s="1">
        <v>1.8E-3</v>
      </c>
      <c r="M1185" s="1">
        <v>0.17960000000000001</v>
      </c>
    </row>
    <row r="1186" spans="1:13" x14ac:dyDescent="0.25">
      <c r="A1186" t="s">
        <v>203</v>
      </c>
      <c r="B1186" t="s">
        <v>228</v>
      </c>
      <c r="C1186">
        <v>177</v>
      </c>
      <c r="D1186" t="s">
        <v>201</v>
      </c>
      <c r="E1186">
        <v>2633</v>
      </c>
      <c r="F1186" s="1">
        <v>0.1196</v>
      </c>
      <c r="G1186" s="1">
        <v>1.6000000000000001E-3</v>
      </c>
      <c r="K1186" s="1">
        <v>0.61329999999999996</v>
      </c>
      <c r="L1186" s="1">
        <v>3.0000000000000001E-3</v>
      </c>
      <c r="M1186" s="1">
        <v>0.26240000000000002</v>
      </c>
    </row>
    <row r="1187" spans="1:13" x14ac:dyDescent="0.25">
      <c r="A1187" t="s">
        <v>203</v>
      </c>
      <c r="B1187" t="s">
        <v>228</v>
      </c>
      <c r="C1187">
        <v>34</v>
      </c>
      <c r="D1187" t="s">
        <v>202</v>
      </c>
      <c r="E1187">
        <v>2633</v>
      </c>
      <c r="F1187" s="1">
        <v>0.1197</v>
      </c>
      <c r="H1187" s="1">
        <v>2.0899999999999998E-2</v>
      </c>
      <c r="K1187" s="1">
        <v>0.73960000000000004</v>
      </c>
      <c r="M1187" s="1">
        <v>0.1197</v>
      </c>
    </row>
    <row r="1188" spans="1:13" x14ac:dyDescent="0.25">
      <c r="A1188" t="s">
        <v>203</v>
      </c>
      <c r="B1188" t="s">
        <v>229</v>
      </c>
      <c r="C1188">
        <v>56</v>
      </c>
      <c r="D1188" t="s">
        <v>202</v>
      </c>
      <c r="E1188">
        <v>2633</v>
      </c>
      <c r="F1188" s="1">
        <v>8.1100000000000005E-2</v>
      </c>
      <c r="K1188" s="1">
        <v>0.84919999999999995</v>
      </c>
      <c r="M1188" s="1">
        <v>6.9599999999999995E-2</v>
      </c>
    </row>
    <row r="1189" spans="1:13" x14ac:dyDescent="0.25">
      <c r="A1189" t="s">
        <v>204</v>
      </c>
      <c r="B1189" t="s">
        <v>204</v>
      </c>
      <c r="C1189">
        <v>2633</v>
      </c>
      <c r="D1189" t="s">
        <v>204</v>
      </c>
      <c r="E1189">
        <v>2633</v>
      </c>
      <c r="F1189" s="1">
        <v>4.0599999999999997E-2</v>
      </c>
      <c r="G1189" s="1">
        <v>2.2499999999999999E-2</v>
      </c>
      <c r="H1189" s="1">
        <v>9.7999999999999997E-3</v>
      </c>
      <c r="I1189" s="1">
        <v>3.8E-3</v>
      </c>
      <c r="J1189" s="1">
        <v>3.09E-2</v>
      </c>
      <c r="K1189" s="1">
        <v>0.6925</v>
      </c>
      <c r="L1189" s="1">
        <v>3.7000000000000002E-3</v>
      </c>
      <c r="M1189" s="1">
        <v>0.19620000000000001</v>
      </c>
    </row>
    <row r="1191" spans="1:13" x14ac:dyDescent="0.25">
      <c r="A1191" t="s">
        <v>409</v>
      </c>
    </row>
    <row r="1192" spans="1:13" x14ac:dyDescent="0.25">
      <c r="A1192" t="s">
        <v>190</v>
      </c>
      <c r="B1192" t="s">
        <v>206</v>
      </c>
      <c r="C1192" t="s">
        <v>195</v>
      </c>
      <c r="D1192" t="s">
        <v>189</v>
      </c>
      <c r="E1192" t="s">
        <v>196</v>
      </c>
      <c r="F1192" t="s">
        <v>401</v>
      </c>
      <c r="G1192" t="s">
        <v>402</v>
      </c>
      <c r="H1192" t="s">
        <v>403</v>
      </c>
      <c r="I1192" t="s">
        <v>404</v>
      </c>
      <c r="J1192" t="s">
        <v>405</v>
      </c>
      <c r="K1192" t="s">
        <v>406</v>
      </c>
      <c r="L1192" t="s">
        <v>215</v>
      </c>
      <c r="M1192" t="s">
        <v>407</v>
      </c>
    </row>
    <row r="1193" spans="1:13" x14ac:dyDescent="0.25">
      <c r="A1193" t="s">
        <v>198</v>
      </c>
      <c r="B1193" t="s">
        <v>348</v>
      </c>
      <c r="C1193">
        <v>79</v>
      </c>
      <c r="D1193" t="s">
        <v>197</v>
      </c>
      <c r="E1193">
        <v>2633</v>
      </c>
      <c r="F1193" s="1">
        <v>1.55E-2</v>
      </c>
      <c r="G1193" s="1">
        <v>3.3399999999999999E-2</v>
      </c>
      <c r="I1193" s="1">
        <v>1.14E-2</v>
      </c>
      <c r="J1193" s="1">
        <v>8.1799999999999998E-2</v>
      </c>
      <c r="K1193" s="1">
        <v>0.57850000000000001</v>
      </c>
      <c r="M1193" s="1">
        <v>0.27939999999999998</v>
      </c>
    </row>
    <row r="1194" spans="1:13" s="29" customFormat="1" x14ac:dyDescent="0.25">
      <c r="A1194" s="29" t="s">
        <v>198</v>
      </c>
      <c r="B1194" s="29" t="s">
        <v>349</v>
      </c>
      <c r="C1194" s="29">
        <v>3</v>
      </c>
      <c r="D1194" s="29" t="s">
        <v>197</v>
      </c>
      <c r="E1194" s="29">
        <v>2633</v>
      </c>
      <c r="K1194" s="30">
        <v>0.66669999999999996</v>
      </c>
      <c r="M1194" s="30">
        <v>0.33329999999999999</v>
      </c>
    </row>
    <row r="1195" spans="1:13" x14ac:dyDescent="0.25">
      <c r="A1195" t="s">
        <v>198</v>
      </c>
      <c r="B1195" t="s">
        <v>348</v>
      </c>
      <c r="C1195">
        <v>54</v>
      </c>
      <c r="D1195" t="s">
        <v>199</v>
      </c>
      <c r="E1195">
        <v>2633</v>
      </c>
      <c r="F1195" s="1">
        <v>1.09E-2</v>
      </c>
      <c r="G1195" s="1">
        <v>3.8E-3</v>
      </c>
      <c r="H1195" s="1">
        <v>3.8E-3</v>
      </c>
      <c r="J1195" s="1">
        <v>3.9800000000000002E-2</v>
      </c>
      <c r="K1195" s="1">
        <v>0.65710000000000002</v>
      </c>
      <c r="M1195" s="1">
        <v>0.28470000000000001</v>
      </c>
    </row>
    <row r="1196" spans="1:13" x14ac:dyDescent="0.25">
      <c r="A1196" t="s">
        <v>198</v>
      </c>
      <c r="B1196" t="s">
        <v>349</v>
      </c>
      <c r="C1196">
        <v>111</v>
      </c>
      <c r="D1196" t="s">
        <v>199</v>
      </c>
      <c r="E1196">
        <v>2633</v>
      </c>
      <c r="F1196" s="1">
        <v>1.3299999999999999E-2</v>
      </c>
      <c r="G1196" s="1">
        <v>0.1032</v>
      </c>
      <c r="J1196" s="1">
        <v>8.1900000000000001E-2</v>
      </c>
      <c r="K1196" s="1">
        <v>0.62760000000000005</v>
      </c>
      <c r="M1196" s="1">
        <v>0.17399999999999999</v>
      </c>
    </row>
    <row r="1197" spans="1:13" x14ac:dyDescent="0.25">
      <c r="A1197" t="s">
        <v>198</v>
      </c>
      <c r="B1197" t="s">
        <v>350</v>
      </c>
      <c r="C1197">
        <v>193</v>
      </c>
      <c r="D1197" t="s">
        <v>199</v>
      </c>
      <c r="E1197">
        <v>2633</v>
      </c>
      <c r="F1197" s="1">
        <v>1.0699999999999999E-2</v>
      </c>
      <c r="G1197" s="1">
        <v>1.18E-2</v>
      </c>
      <c r="H1197" s="1">
        <v>4.9500000000000002E-2</v>
      </c>
      <c r="I1197" s="1">
        <v>3.9699999999999999E-2</v>
      </c>
      <c r="J1197" s="1">
        <v>2.4899999999999999E-2</v>
      </c>
      <c r="K1197" s="1">
        <v>0.53100000000000003</v>
      </c>
      <c r="L1197" s="1">
        <v>4.8999999999999998E-3</v>
      </c>
      <c r="M1197" s="1">
        <v>0.3276</v>
      </c>
    </row>
    <row r="1198" spans="1:13" x14ac:dyDescent="0.25">
      <c r="A1198" t="s">
        <v>198</v>
      </c>
      <c r="B1198" t="s">
        <v>350</v>
      </c>
      <c r="C1198">
        <v>78</v>
      </c>
      <c r="D1198" t="s">
        <v>200</v>
      </c>
      <c r="E1198">
        <v>2633</v>
      </c>
      <c r="F1198" s="1">
        <v>4.1000000000000002E-2</v>
      </c>
      <c r="G1198" s="1">
        <v>2.12E-2</v>
      </c>
      <c r="H1198" s="1">
        <v>9.9000000000000008E-3</v>
      </c>
      <c r="I1198" s="1">
        <v>1.4E-3</v>
      </c>
      <c r="J1198" s="1">
        <v>6.1699999999999998E-2</v>
      </c>
      <c r="K1198" s="1">
        <v>0.54179999999999995</v>
      </c>
      <c r="M1198" s="1">
        <v>0.3231</v>
      </c>
    </row>
    <row r="1199" spans="1:13" x14ac:dyDescent="0.25">
      <c r="A1199" t="s">
        <v>198</v>
      </c>
      <c r="B1199" t="s">
        <v>348</v>
      </c>
      <c r="C1199">
        <v>242</v>
      </c>
      <c r="D1199" t="s">
        <v>200</v>
      </c>
      <c r="E1199">
        <v>2633</v>
      </c>
      <c r="F1199" s="1">
        <v>3.56E-2</v>
      </c>
      <c r="G1199" s="1">
        <v>2.0299999999999999E-2</v>
      </c>
      <c r="H1199" s="1">
        <v>2.1100000000000001E-2</v>
      </c>
      <c r="J1199" s="1">
        <v>5.7599999999999998E-2</v>
      </c>
      <c r="K1199" s="1">
        <v>0.63600000000000001</v>
      </c>
      <c r="L1199" s="1">
        <v>3.5999999999999999E-3</v>
      </c>
      <c r="M1199" s="1">
        <v>0.2258</v>
      </c>
    </row>
    <row r="1200" spans="1:13" x14ac:dyDescent="0.25">
      <c r="A1200" t="s">
        <v>198</v>
      </c>
      <c r="B1200" t="s">
        <v>349</v>
      </c>
      <c r="C1200">
        <v>62</v>
      </c>
      <c r="D1200" t="s">
        <v>200</v>
      </c>
      <c r="E1200">
        <v>2633</v>
      </c>
      <c r="F1200" s="1">
        <v>2.1600000000000001E-2</v>
      </c>
      <c r="J1200" s="1">
        <v>2.4500000000000001E-2</v>
      </c>
      <c r="K1200" s="1">
        <v>0.85070000000000001</v>
      </c>
      <c r="M1200" s="1">
        <v>0.1032</v>
      </c>
    </row>
    <row r="1201" spans="1:13" x14ac:dyDescent="0.25">
      <c r="A1201" t="s">
        <v>198</v>
      </c>
      <c r="B1201" t="s">
        <v>349</v>
      </c>
      <c r="C1201">
        <v>125</v>
      </c>
      <c r="D1201" t="s">
        <v>201</v>
      </c>
      <c r="E1201">
        <v>2633</v>
      </c>
      <c r="J1201" s="1">
        <v>0.1148</v>
      </c>
      <c r="K1201" s="1">
        <v>0.63200000000000001</v>
      </c>
      <c r="M1201" s="1">
        <v>0.25330000000000003</v>
      </c>
    </row>
    <row r="1202" spans="1:13" x14ac:dyDescent="0.25">
      <c r="A1202" t="s">
        <v>198</v>
      </c>
      <c r="B1202" t="s">
        <v>350</v>
      </c>
      <c r="C1202">
        <v>63</v>
      </c>
      <c r="D1202" t="s">
        <v>201</v>
      </c>
      <c r="E1202">
        <v>2633</v>
      </c>
      <c r="F1202" s="1">
        <v>2.1600000000000001E-2</v>
      </c>
      <c r="G1202" s="1">
        <v>2.9399999999999999E-2</v>
      </c>
      <c r="I1202" s="1">
        <v>6.8999999999999999E-3</v>
      </c>
      <c r="J1202" s="1">
        <v>8.5300000000000001E-2</v>
      </c>
      <c r="K1202" s="1">
        <v>0.59840000000000004</v>
      </c>
      <c r="M1202" s="1">
        <v>0.25840000000000002</v>
      </c>
    </row>
    <row r="1203" spans="1:13" x14ac:dyDescent="0.25">
      <c r="A1203" t="s">
        <v>198</v>
      </c>
      <c r="B1203" t="s">
        <v>348</v>
      </c>
      <c r="C1203">
        <v>62</v>
      </c>
      <c r="D1203" t="s">
        <v>201</v>
      </c>
      <c r="E1203">
        <v>2633</v>
      </c>
      <c r="F1203" s="1">
        <v>6.3E-3</v>
      </c>
      <c r="H1203" s="1">
        <v>1.61E-2</v>
      </c>
      <c r="J1203" s="1">
        <v>0.1376</v>
      </c>
      <c r="K1203" s="1">
        <v>0.57199999999999995</v>
      </c>
      <c r="M1203" s="1">
        <v>0.26800000000000002</v>
      </c>
    </row>
    <row r="1204" spans="1:13" x14ac:dyDescent="0.25">
      <c r="A1204" t="s">
        <v>198</v>
      </c>
      <c r="B1204" t="s">
        <v>348</v>
      </c>
      <c r="C1204">
        <v>96</v>
      </c>
      <c r="D1204" t="s">
        <v>202</v>
      </c>
      <c r="E1204">
        <v>2633</v>
      </c>
      <c r="F1204" s="1">
        <v>9.0399999999999994E-2</v>
      </c>
      <c r="G1204" s="1">
        <v>1.5299999999999999E-2</v>
      </c>
      <c r="H1204" s="1">
        <v>2.5000000000000001E-3</v>
      </c>
      <c r="I1204" s="1">
        <v>9.4999999999999998E-3</v>
      </c>
      <c r="J1204" s="1">
        <v>6.4600000000000005E-2</v>
      </c>
      <c r="K1204" s="1">
        <v>0.61119999999999997</v>
      </c>
      <c r="M1204" s="1">
        <v>0.20660000000000001</v>
      </c>
    </row>
    <row r="1205" spans="1:13" x14ac:dyDescent="0.25">
      <c r="A1205" t="s">
        <v>203</v>
      </c>
      <c r="B1205" t="s">
        <v>349</v>
      </c>
      <c r="C1205">
        <v>171</v>
      </c>
      <c r="D1205" t="s">
        <v>199</v>
      </c>
      <c r="E1205">
        <v>2633</v>
      </c>
      <c r="F1205" s="1">
        <v>3.9199999999999999E-2</v>
      </c>
      <c r="G1205" s="1">
        <v>1.54E-2</v>
      </c>
      <c r="H1205" s="1">
        <v>3.3999999999999998E-3</v>
      </c>
      <c r="I1205" s="1">
        <v>1.6999999999999999E-3</v>
      </c>
      <c r="K1205" s="1">
        <v>0.55230000000000001</v>
      </c>
      <c r="M1205" s="1">
        <v>0.38800000000000001</v>
      </c>
    </row>
    <row r="1206" spans="1:13" x14ac:dyDescent="0.25">
      <c r="A1206" t="s">
        <v>203</v>
      </c>
      <c r="B1206" t="s">
        <v>348</v>
      </c>
      <c r="C1206">
        <v>42</v>
      </c>
      <c r="D1206" t="s">
        <v>199</v>
      </c>
      <c r="E1206">
        <v>2633</v>
      </c>
      <c r="K1206" s="1">
        <v>0.67700000000000005</v>
      </c>
      <c r="M1206" s="1">
        <v>0.32300000000000001</v>
      </c>
    </row>
    <row r="1207" spans="1:13" x14ac:dyDescent="0.25">
      <c r="A1207" t="s">
        <v>203</v>
      </c>
      <c r="B1207" t="s">
        <v>350</v>
      </c>
      <c r="C1207">
        <v>307</v>
      </c>
      <c r="D1207" t="s">
        <v>199</v>
      </c>
      <c r="E1207">
        <v>2633</v>
      </c>
      <c r="F1207" s="1">
        <v>0.08</v>
      </c>
      <c r="G1207" s="1">
        <v>0.10199999999999999</v>
      </c>
      <c r="H1207" s="1">
        <v>4.6100000000000002E-2</v>
      </c>
      <c r="I1207" s="1">
        <v>8.9999999999999998E-4</v>
      </c>
      <c r="K1207" s="1">
        <v>0.57509999999999994</v>
      </c>
      <c r="M1207" s="1">
        <v>0.19589999999999999</v>
      </c>
    </row>
    <row r="1208" spans="1:13" x14ac:dyDescent="0.25">
      <c r="A1208" t="s">
        <v>203</v>
      </c>
      <c r="B1208" t="s">
        <v>348</v>
      </c>
      <c r="C1208">
        <v>300</v>
      </c>
      <c r="D1208" t="s">
        <v>200</v>
      </c>
      <c r="E1208">
        <v>2633</v>
      </c>
      <c r="F1208" s="1">
        <v>2.01E-2</v>
      </c>
      <c r="K1208" s="1">
        <v>0.86619999999999997</v>
      </c>
      <c r="L1208" s="1">
        <v>1.03E-2</v>
      </c>
      <c r="M1208" s="1">
        <v>0.1033</v>
      </c>
    </row>
    <row r="1209" spans="1:13" x14ac:dyDescent="0.25">
      <c r="A1209" t="s">
        <v>203</v>
      </c>
      <c r="B1209" t="s">
        <v>349</v>
      </c>
      <c r="C1209">
        <v>108</v>
      </c>
      <c r="D1209" t="s">
        <v>200</v>
      </c>
      <c r="E1209">
        <v>2633</v>
      </c>
      <c r="F1209" s="1">
        <v>2.2200000000000001E-2</v>
      </c>
      <c r="G1209" s="1">
        <v>2.3099999999999999E-2</v>
      </c>
      <c r="K1209" s="1">
        <v>0.75580000000000003</v>
      </c>
      <c r="M1209" s="1">
        <v>0.19889999999999999</v>
      </c>
    </row>
    <row r="1210" spans="1:13" x14ac:dyDescent="0.25">
      <c r="A1210" t="s">
        <v>203</v>
      </c>
      <c r="B1210" t="s">
        <v>350</v>
      </c>
      <c r="C1210">
        <v>94</v>
      </c>
      <c r="D1210" t="s">
        <v>200</v>
      </c>
      <c r="E1210">
        <v>2633</v>
      </c>
      <c r="F1210" s="1">
        <v>3.09E-2</v>
      </c>
      <c r="G1210" s="1">
        <v>3.44E-2</v>
      </c>
      <c r="H1210" s="1">
        <v>3.3999999999999998E-3</v>
      </c>
      <c r="K1210" s="1">
        <v>0.6119</v>
      </c>
      <c r="L1210" s="1">
        <v>1.55E-2</v>
      </c>
      <c r="M1210" s="1">
        <v>0.30380000000000001</v>
      </c>
    </row>
    <row r="1211" spans="1:13" x14ac:dyDescent="0.25">
      <c r="A1211" t="s">
        <v>203</v>
      </c>
      <c r="B1211" t="s">
        <v>348</v>
      </c>
      <c r="C1211">
        <v>62</v>
      </c>
      <c r="D1211" t="s">
        <v>201</v>
      </c>
      <c r="E1211">
        <v>2633</v>
      </c>
      <c r="F1211" s="1">
        <v>9.4E-2</v>
      </c>
      <c r="K1211" s="1">
        <v>0.68420000000000003</v>
      </c>
      <c r="L1211" s="1">
        <v>1.9E-2</v>
      </c>
      <c r="M1211" s="1">
        <v>0.20269999999999999</v>
      </c>
    </row>
    <row r="1212" spans="1:13" x14ac:dyDescent="0.25">
      <c r="A1212" t="s">
        <v>203</v>
      </c>
      <c r="B1212" t="s">
        <v>349</v>
      </c>
      <c r="C1212">
        <v>147</v>
      </c>
      <c r="D1212" t="s">
        <v>201</v>
      </c>
      <c r="E1212">
        <v>2633</v>
      </c>
      <c r="F1212" s="1">
        <v>0.1183</v>
      </c>
      <c r="G1212" s="1">
        <v>5.0000000000000001E-4</v>
      </c>
      <c r="K1212" s="1">
        <v>0.68959999999999999</v>
      </c>
      <c r="M1212" s="1">
        <v>0.19159999999999999</v>
      </c>
    </row>
    <row r="1213" spans="1:13" x14ac:dyDescent="0.25">
      <c r="A1213" t="s">
        <v>203</v>
      </c>
      <c r="B1213" t="s">
        <v>350</v>
      </c>
      <c r="C1213">
        <v>105</v>
      </c>
      <c r="D1213" t="s">
        <v>201</v>
      </c>
      <c r="E1213">
        <v>2633</v>
      </c>
      <c r="F1213" s="1">
        <v>1.6199999999999999E-2</v>
      </c>
      <c r="H1213" s="1">
        <v>3.2500000000000001E-2</v>
      </c>
      <c r="K1213" s="1">
        <v>0.66749999999999998</v>
      </c>
      <c r="M1213" s="1">
        <v>0.2838</v>
      </c>
    </row>
    <row r="1214" spans="1:13" x14ac:dyDescent="0.25">
      <c r="A1214" t="s">
        <v>203</v>
      </c>
      <c r="B1214" t="s">
        <v>348</v>
      </c>
      <c r="C1214">
        <v>90</v>
      </c>
      <c r="D1214" t="s">
        <v>202</v>
      </c>
      <c r="E1214">
        <v>2633</v>
      </c>
      <c r="F1214" s="1">
        <v>9.2100000000000001E-2</v>
      </c>
      <c r="H1214" s="1">
        <v>5.8999999999999999E-3</v>
      </c>
      <c r="K1214" s="1">
        <v>0.81820000000000004</v>
      </c>
      <c r="M1214" s="1">
        <v>8.3799999999999999E-2</v>
      </c>
    </row>
    <row r="1215" spans="1:13" x14ac:dyDescent="0.25">
      <c r="A1215" t="s">
        <v>204</v>
      </c>
      <c r="B1215" t="s">
        <v>204</v>
      </c>
      <c r="C1215">
        <v>2633</v>
      </c>
      <c r="D1215" t="s">
        <v>204</v>
      </c>
      <c r="E1215">
        <v>2633</v>
      </c>
      <c r="F1215" s="1">
        <v>4.0599999999999997E-2</v>
      </c>
      <c r="G1215" s="1">
        <v>2.2499999999999999E-2</v>
      </c>
      <c r="H1215" s="1">
        <v>9.7999999999999997E-3</v>
      </c>
      <c r="I1215" s="1">
        <v>3.8E-3</v>
      </c>
      <c r="J1215" s="1">
        <v>3.09E-2</v>
      </c>
      <c r="K1215" s="1">
        <v>0.6925</v>
      </c>
      <c r="L1215" s="1">
        <v>3.7000000000000002E-3</v>
      </c>
      <c r="M1215" s="1">
        <v>0.19620000000000001</v>
      </c>
    </row>
    <row r="1217" spans="1:9" x14ac:dyDescent="0.25">
      <c r="A1217" t="s">
        <v>410</v>
      </c>
    </row>
    <row r="1218" spans="1:9" x14ac:dyDescent="0.25">
      <c r="A1218" t="s">
        <v>190</v>
      </c>
      <c r="B1218" t="s">
        <v>195</v>
      </c>
      <c r="C1218" t="s">
        <v>189</v>
      </c>
      <c r="D1218" t="s">
        <v>196</v>
      </c>
      <c r="E1218" t="s">
        <v>220</v>
      </c>
      <c r="F1218" t="s">
        <v>411</v>
      </c>
      <c r="G1218" t="s">
        <v>215</v>
      </c>
      <c r="H1218" t="s">
        <v>412</v>
      </c>
      <c r="I1218" t="s">
        <v>413</v>
      </c>
    </row>
    <row r="1219" spans="1:9" x14ac:dyDescent="0.25">
      <c r="A1219" t="s">
        <v>198</v>
      </c>
      <c r="B1219">
        <v>82</v>
      </c>
      <c r="C1219" t="s">
        <v>197</v>
      </c>
      <c r="D1219">
        <v>2633</v>
      </c>
      <c r="F1219" s="1">
        <v>6.0600000000000001E-2</v>
      </c>
      <c r="H1219" s="1">
        <v>0.81079999999999997</v>
      </c>
      <c r="I1219" s="1">
        <v>0.12859999999999999</v>
      </c>
    </row>
    <row r="1220" spans="1:9" x14ac:dyDescent="0.25">
      <c r="A1220" t="s">
        <v>198</v>
      </c>
      <c r="B1220">
        <v>368</v>
      </c>
      <c r="C1220" t="s">
        <v>199</v>
      </c>
      <c r="D1220">
        <v>2633</v>
      </c>
      <c r="E1220" s="1">
        <v>2.0999999999999999E-3</v>
      </c>
      <c r="F1220" s="1">
        <v>9.7199999999999995E-2</v>
      </c>
      <c r="G1220" s="1">
        <v>1.1999999999999999E-3</v>
      </c>
      <c r="H1220" s="1">
        <v>0.72150000000000003</v>
      </c>
      <c r="I1220" s="1">
        <v>0.17799999999999999</v>
      </c>
    </row>
    <row r="1221" spans="1:9" x14ac:dyDescent="0.25">
      <c r="A1221" t="s">
        <v>198</v>
      </c>
      <c r="B1221">
        <v>387</v>
      </c>
      <c r="C1221" t="s">
        <v>200</v>
      </c>
      <c r="D1221">
        <v>2633</v>
      </c>
      <c r="E1221" s="1">
        <v>1E-4</v>
      </c>
      <c r="F1221" s="1">
        <v>7.1499999999999994E-2</v>
      </c>
      <c r="H1221" s="1">
        <v>0.68710000000000004</v>
      </c>
      <c r="I1221" s="1">
        <v>0.24129999999999999</v>
      </c>
    </row>
    <row r="1222" spans="1:9" x14ac:dyDescent="0.25">
      <c r="A1222" t="s">
        <v>198</v>
      </c>
      <c r="B1222">
        <v>256</v>
      </c>
      <c r="C1222" t="s">
        <v>201</v>
      </c>
      <c r="D1222">
        <v>2633</v>
      </c>
      <c r="E1222" s="1">
        <v>2.9999999999999997E-4</v>
      </c>
      <c r="F1222" s="1">
        <v>6.7699999999999996E-2</v>
      </c>
      <c r="H1222" s="1">
        <v>0.66620000000000001</v>
      </c>
      <c r="I1222" s="1">
        <v>0.26569999999999999</v>
      </c>
    </row>
    <row r="1223" spans="1:9" x14ac:dyDescent="0.25">
      <c r="A1223" t="s">
        <v>198</v>
      </c>
      <c r="B1223">
        <v>96</v>
      </c>
      <c r="C1223" t="s">
        <v>202</v>
      </c>
      <c r="D1223">
        <v>2633</v>
      </c>
      <c r="F1223" s="1">
        <v>8.6400000000000005E-2</v>
      </c>
      <c r="H1223" s="1">
        <v>0.86219999999999997</v>
      </c>
      <c r="I1223" s="1">
        <v>5.1400000000000001E-2</v>
      </c>
    </row>
    <row r="1224" spans="1:9" x14ac:dyDescent="0.25">
      <c r="A1224" t="s">
        <v>203</v>
      </c>
      <c r="B1224">
        <v>530</v>
      </c>
      <c r="C1224" t="s">
        <v>199</v>
      </c>
      <c r="D1224">
        <v>2633</v>
      </c>
      <c r="E1224" s="1">
        <v>1.2999999999999999E-3</v>
      </c>
      <c r="F1224" s="1">
        <v>0.83079999999999998</v>
      </c>
      <c r="H1224" s="1">
        <v>7.6300000000000007E-2</v>
      </c>
      <c r="I1224" s="1">
        <v>9.1600000000000001E-2</v>
      </c>
    </row>
    <row r="1225" spans="1:9" x14ac:dyDescent="0.25">
      <c r="A1225" t="s">
        <v>203</v>
      </c>
      <c r="B1225">
        <v>503</v>
      </c>
      <c r="C1225" t="s">
        <v>200</v>
      </c>
      <c r="D1225">
        <v>2633</v>
      </c>
      <c r="E1225" s="1">
        <v>1.11E-2</v>
      </c>
      <c r="F1225" s="1">
        <v>0.92730000000000001</v>
      </c>
      <c r="H1225" s="1">
        <v>2.81E-2</v>
      </c>
      <c r="I1225" s="1">
        <v>3.3500000000000002E-2</v>
      </c>
    </row>
    <row r="1226" spans="1:9" x14ac:dyDescent="0.25">
      <c r="A1226" t="s">
        <v>203</v>
      </c>
      <c r="B1226">
        <v>321</v>
      </c>
      <c r="C1226" t="s">
        <v>201</v>
      </c>
      <c r="D1226">
        <v>2633</v>
      </c>
      <c r="E1226" s="1">
        <v>1.1999999999999999E-3</v>
      </c>
      <c r="F1226" s="1">
        <v>0.89629999999999999</v>
      </c>
      <c r="H1226" s="1">
        <v>4.87E-2</v>
      </c>
      <c r="I1226" s="1">
        <v>5.3900000000000003E-2</v>
      </c>
    </row>
    <row r="1227" spans="1:9" x14ac:dyDescent="0.25">
      <c r="A1227" t="s">
        <v>203</v>
      </c>
      <c r="B1227">
        <v>90</v>
      </c>
      <c r="C1227" t="s">
        <v>202</v>
      </c>
      <c r="D1227">
        <v>2633</v>
      </c>
      <c r="F1227" s="1">
        <v>0.99629999999999996</v>
      </c>
      <c r="H1227" s="1">
        <v>3.7000000000000002E-3</v>
      </c>
    </row>
    <row r="1228" spans="1:9" x14ac:dyDescent="0.25">
      <c r="A1228" t="s">
        <v>204</v>
      </c>
      <c r="B1228">
        <v>2633</v>
      </c>
      <c r="C1228" t="s">
        <v>204</v>
      </c>
      <c r="D1228">
        <v>2633</v>
      </c>
      <c r="E1228" s="1">
        <v>3.8999999999999998E-3</v>
      </c>
      <c r="F1228" s="1">
        <v>0.52849999999999997</v>
      </c>
      <c r="G1228" s="1">
        <v>1E-4</v>
      </c>
      <c r="H1228" s="1">
        <v>0.3639</v>
      </c>
      <c r="I1228" s="1">
        <v>0.10340000000000001</v>
      </c>
    </row>
    <row r="1230" spans="1:9" x14ac:dyDescent="0.25">
      <c r="A1230" t="s">
        <v>414</v>
      </c>
    </row>
    <row r="1231" spans="1:9" x14ac:dyDescent="0.25">
      <c r="A1231" t="s">
        <v>190</v>
      </c>
      <c r="B1231" t="s">
        <v>195</v>
      </c>
      <c r="C1231" t="s">
        <v>189</v>
      </c>
      <c r="D1231" t="s">
        <v>196</v>
      </c>
      <c r="E1231" t="s">
        <v>220</v>
      </c>
      <c r="F1231" t="s">
        <v>207</v>
      </c>
      <c r="G1231" t="s">
        <v>215</v>
      </c>
      <c r="H1231" t="s">
        <v>208</v>
      </c>
    </row>
    <row r="1232" spans="1:9" x14ac:dyDescent="0.25">
      <c r="A1232" t="s">
        <v>198</v>
      </c>
      <c r="B1232">
        <v>36</v>
      </c>
      <c r="C1232" t="s">
        <v>197</v>
      </c>
      <c r="D1232">
        <v>1778</v>
      </c>
      <c r="F1232" s="1">
        <v>7.9299999999999995E-2</v>
      </c>
      <c r="H1232" s="1">
        <v>0.92069999999999996</v>
      </c>
    </row>
    <row r="1233" spans="1:9" x14ac:dyDescent="0.25">
      <c r="A1233" t="s">
        <v>198</v>
      </c>
      <c r="B1233">
        <v>246</v>
      </c>
      <c r="C1233" t="s">
        <v>199</v>
      </c>
      <c r="D1233">
        <v>1778</v>
      </c>
      <c r="E1233" s="1">
        <v>4.3E-3</v>
      </c>
      <c r="F1233" s="1">
        <v>9.7799999999999998E-2</v>
      </c>
      <c r="H1233" s="1">
        <v>0.89800000000000002</v>
      </c>
    </row>
    <row r="1234" spans="1:9" x14ac:dyDescent="0.25">
      <c r="A1234" t="s">
        <v>198</v>
      </c>
      <c r="B1234">
        <v>274</v>
      </c>
      <c r="C1234" t="s">
        <v>200</v>
      </c>
      <c r="D1234">
        <v>1778</v>
      </c>
      <c r="F1234" s="1">
        <v>3.8100000000000002E-2</v>
      </c>
      <c r="G1234" s="1">
        <v>2.3999999999999998E-3</v>
      </c>
      <c r="H1234" s="1">
        <v>0.95960000000000001</v>
      </c>
    </row>
    <row r="1235" spans="1:9" x14ac:dyDescent="0.25">
      <c r="A1235" t="s">
        <v>198</v>
      </c>
      <c r="B1235">
        <v>197</v>
      </c>
      <c r="C1235" t="s">
        <v>201</v>
      </c>
      <c r="D1235">
        <v>1778</v>
      </c>
      <c r="F1235" s="1">
        <v>2.12E-2</v>
      </c>
      <c r="H1235" s="1">
        <v>0.9788</v>
      </c>
    </row>
    <row r="1236" spans="1:9" x14ac:dyDescent="0.25">
      <c r="A1236" t="s">
        <v>198</v>
      </c>
      <c r="B1236">
        <v>54</v>
      </c>
      <c r="C1236" t="s">
        <v>202</v>
      </c>
      <c r="D1236">
        <v>1778</v>
      </c>
      <c r="F1236" s="1">
        <v>3.15E-2</v>
      </c>
      <c r="H1236" s="1">
        <v>0.96850000000000003</v>
      </c>
    </row>
    <row r="1237" spans="1:9" x14ac:dyDescent="0.25">
      <c r="A1237" t="s">
        <v>203</v>
      </c>
      <c r="B1237">
        <v>359</v>
      </c>
      <c r="C1237" t="s">
        <v>199</v>
      </c>
      <c r="D1237">
        <v>1778</v>
      </c>
      <c r="F1237" s="1">
        <v>8.5599999999999996E-2</v>
      </c>
      <c r="H1237" s="1">
        <v>0.91439999999999999</v>
      </c>
    </row>
    <row r="1238" spans="1:9" x14ac:dyDescent="0.25">
      <c r="A1238" t="s">
        <v>203</v>
      </c>
      <c r="B1238">
        <v>322</v>
      </c>
      <c r="C1238" t="s">
        <v>200</v>
      </c>
      <c r="D1238">
        <v>1778</v>
      </c>
      <c r="F1238" s="1">
        <v>2.9100000000000001E-2</v>
      </c>
      <c r="H1238" s="1">
        <v>0.97089999999999999</v>
      </c>
    </row>
    <row r="1239" spans="1:9" x14ac:dyDescent="0.25">
      <c r="A1239" t="s">
        <v>203</v>
      </c>
      <c r="B1239">
        <v>218</v>
      </c>
      <c r="C1239" t="s">
        <v>201</v>
      </c>
      <c r="D1239">
        <v>1778</v>
      </c>
      <c r="F1239" s="1">
        <v>8.0600000000000005E-2</v>
      </c>
      <c r="H1239" s="1">
        <v>0.9194</v>
      </c>
    </row>
    <row r="1240" spans="1:9" x14ac:dyDescent="0.25">
      <c r="A1240" t="s">
        <v>203</v>
      </c>
      <c r="B1240">
        <v>72</v>
      </c>
      <c r="C1240" t="s">
        <v>202</v>
      </c>
      <c r="D1240">
        <v>1778</v>
      </c>
      <c r="F1240" s="1">
        <v>1.9E-2</v>
      </c>
      <c r="H1240" s="1">
        <v>0.98099999999999998</v>
      </c>
    </row>
    <row r="1241" spans="1:9" x14ac:dyDescent="0.25">
      <c r="A1241" t="s">
        <v>204</v>
      </c>
      <c r="B1241">
        <v>1778</v>
      </c>
      <c r="C1241" t="s">
        <v>204</v>
      </c>
      <c r="D1241">
        <v>1778</v>
      </c>
      <c r="E1241" s="1">
        <v>4.0000000000000002E-4</v>
      </c>
      <c r="F1241" s="1">
        <v>4.9099999999999998E-2</v>
      </c>
      <c r="G1241" s="1">
        <v>4.0000000000000002E-4</v>
      </c>
      <c r="H1241" s="1">
        <v>0.95</v>
      </c>
    </row>
    <row r="1243" spans="1:9" x14ac:dyDescent="0.25">
      <c r="A1243" t="s">
        <v>415</v>
      </c>
    </row>
    <row r="1244" spans="1:9" x14ac:dyDescent="0.25">
      <c r="A1244" t="s">
        <v>190</v>
      </c>
      <c r="B1244" t="s">
        <v>206</v>
      </c>
      <c r="C1244" t="s">
        <v>195</v>
      </c>
      <c r="D1244" t="s">
        <v>189</v>
      </c>
      <c r="E1244" t="s">
        <v>196</v>
      </c>
      <c r="F1244" t="s">
        <v>220</v>
      </c>
      <c r="G1244" t="s">
        <v>207</v>
      </c>
      <c r="H1244" t="s">
        <v>215</v>
      </c>
      <c r="I1244" t="s">
        <v>208</v>
      </c>
    </row>
    <row r="1245" spans="1:9" s="29" customFormat="1" x14ac:dyDescent="0.25">
      <c r="A1245" s="29" t="s">
        <v>198</v>
      </c>
      <c r="B1245" s="29" t="s">
        <v>228</v>
      </c>
      <c r="C1245" s="29">
        <v>16</v>
      </c>
      <c r="D1245" s="29" t="s">
        <v>197</v>
      </c>
      <c r="E1245" s="29">
        <v>1778</v>
      </c>
      <c r="G1245" s="30">
        <v>0.12130000000000001</v>
      </c>
      <c r="I1245" s="30">
        <v>0.87870000000000004</v>
      </c>
    </row>
    <row r="1246" spans="1:9" s="29" customFormat="1" x14ac:dyDescent="0.25">
      <c r="A1246" s="29" t="s">
        <v>198</v>
      </c>
      <c r="B1246" s="29" t="s">
        <v>229</v>
      </c>
      <c r="C1246" s="29">
        <v>20</v>
      </c>
      <c r="D1246" s="29" t="s">
        <v>197</v>
      </c>
      <c r="E1246" s="29">
        <v>1778</v>
      </c>
      <c r="G1246" s="30">
        <v>5.0900000000000001E-2</v>
      </c>
      <c r="I1246" s="30">
        <v>0.94910000000000005</v>
      </c>
    </row>
    <row r="1247" spans="1:9" x14ac:dyDescent="0.25">
      <c r="A1247" t="s">
        <v>198</v>
      </c>
      <c r="B1247" t="s">
        <v>228</v>
      </c>
      <c r="C1247">
        <v>124</v>
      </c>
      <c r="D1247" t="s">
        <v>199</v>
      </c>
      <c r="E1247">
        <v>1778</v>
      </c>
      <c r="G1247" s="1">
        <v>5.5899999999999998E-2</v>
      </c>
      <c r="I1247" s="1">
        <v>0.94410000000000005</v>
      </c>
    </row>
    <row r="1248" spans="1:9" x14ac:dyDescent="0.25">
      <c r="A1248" t="s">
        <v>198</v>
      </c>
      <c r="B1248" t="s">
        <v>229</v>
      </c>
      <c r="C1248">
        <v>116</v>
      </c>
      <c r="D1248" t="s">
        <v>199</v>
      </c>
      <c r="E1248">
        <v>1778</v>
      </c>
      <c r="F1248" s="1">
        <v>6.4000000000000003E-3</v>
      </c>
      <c r="G1248" s="1">
        <v>0.1168</v>
      </c>
      <c r="I1248" s="1">
        <v>0.87680000000000002</v>
      </c>
    </row>
    <row r="1249" spans="1:9" x14ac:dyDescent="0.25">
      <c r="A1249" t="s">
        <v>198</v>
      </c>
      <c r="B1249" t="s">
        <v>229</v>
      </c>
      <c r="C1249">
        <v>190</v>
      </c>
      <c r="D1249" t="s">
        <v>200</v>
      </c>
      <c r="E1249">
        <v>1778</v>
      </c>
      <c r="G1249" s="1">
        <v>1.6199999999999999E-2</v>
      </c>
      <c r="H1249" s="1">
        <v>3.0000000000000001E-3</v>
      </c>
      <c r="I1249" s="1">
        <v>0.98070000000000002</v>
      </c>
    </row>
    <row r="1250" spans="1:9" x14ac:dyDescent="0.25">
      <c r="A1250" t="s">
        <v>198</v>
      </c>
      <c r="B1250" t="s">
        <v>228</v>
      </c>
      <c r="C1250">
        <v>81</v>
      </c>
      <c r="D1250" t="s">
        <v>200</v>
      </c>
      <c r="E1250">
        <v>1778</v>
      </c>
      <c r="G1250" s="1">
        <v>0.1177</v>
      </c>
      <c r="I1250" s="1">
        <v>0.88229999999999997</v>
      </c>
    </row>
    <row r="1251" spans="1:9" x14ac:dyDescent="0.25">
      <c r="A1251" t="s">
        <v>198</v>
      </c>
      <c r="B1251" t="s">
        <v>228</v>
      </c>
      <c r="C1251">
        <v>79</v>
      </c>
      <c r="D1251" t="s">
        <v>201</v>
      </c>
      <c r="E1251">
        <v>1778</v>
      </c>
      <c r="G1251" s="1">
        <v>3.6700000000000003E-2</v>
      </c>
      <c r="I1251" s="1">
        <v>0.96330000000000005</v>
      </c>
    </row>
    <row r="1252" spans="1:9" x14ac:dyDescent="0.25">
      <c r="A1252" t="s">
        <v>198</v>
      </c>
      <c r="B1252" t="s">
        <v>229</v>
      </c>
      <c r="C1252">
        <v>110</v>
      </c>
      <c r="D1252" t="s">
        <v>201</v>
      </c>
      <c r="E1252">
        <v>1778</v>
      </c>
      <c r="G1252" s="1">
        <v>1.77E-2</v>
      </c>
      <c r="I1252" s="1">
        <v>0.98229999999999995</v>
      </c>
    </row>
    <row r="1253" spans="1:9" s="29" customFormat="1" x14ac:dyDescent="0.25">
      <c r="A1253" s="29" t="s">
        <v>198</v>
      </c>
      <c r="B1253" s="29" t="s">
        <v>229</v>
      </c>
      <c r="C1253" s="29">
        <v>27</v>
      </c>
      <c r="D1253" s="29" t="s">
        <v>202</v>
      </c>
      <c r="E1253" s="29">
        <v>1778</v>
      </c>
      <c r="I1253" s="30">
        <v>1</v>
      </c>
    </row>
    <row r="1254" spans="1:9" s="29" customFormat="1" x14ac:dyDescent="0.25">
      <c r="A1254" s="29" t="s">
        <v>198</v>
      </c>
      <c r="B1254" s="29" t="s">
        <v>228</v>
      </c>
      <c r="C1254" s="29">
        <v>27</v>
      </c>
      <c r="D1254" s="29" t="s">
        <v>202</v>
      </c>
      <c r="E1254" s="29">
        <v>1778</v>
      </c>
      <c r="G1254" s="30">
        <v>0.1002</v>
      </c>
      <c r="I1254" s="30">
        <v>0.89980000000000004</v>
      </c>
    </row>
    <row r="1255" spans="1:9" x14ac:dyDescent="0.25">
      <c r="A1255" t="s">
        <v>203</v>
      </c>
      <c r="B1255" t="s">
        <v>228</v>
      </c>
      <c r="C1255">
        <v>134</v>
      </c>
      <c r="D1255" t="s">
        <v>199</v>
      </c>
      <c r="E1255">
        <v>1778</v>
      </c>
      <c r="G1255" s="1">
        <v>7.9200000000000007E-2</v>
      </c>
      <c r="I1255" s="1">
        <v>0.92079999999999995</v>
      </c>
    </row>
    <row r="1256" spans="1:9" x14ac:dyDescent="0.25">
      <c r="A1256" t="s">
        <v>203</v>
      </c>
      <c r="B1256" t="s">
        <v>229</v>
      </c>
      <c r="C1256">
        <v>220</v>
      </c>
      <c r="D1256" t="s">
        <v>199</v>
      </c>
      <c r="E1256">
        <v>1778</v>
      </c>
      <c r="G1256" s="1">
        <v>8.7099999999999997E-2</v>
      </c>
      <c r="I1256" s="1">
        <v>0.91290000000000004</v>
      </c>
    </row>
    <row r="1257" spans="1:9" x14ac:dyDescent="0.25">
      <c r="A1257" t="s">
        <v>203</v>
      </c>
      <c r="B1257" t="s">
        <v>229</v>
      </c>
      <c r="C1257">
        <v>208</v>
      </c>
      <c r="D1257" t="s">
        <v>200</v>
      </c>
      <c r="E1257">
        <v>1778</v>
      </c>
      <c r="G1257" s="1">
        <v>3.1800000000000002E-2</v>
      </c>
      <c r="I1257" s="1">
        <v>0.96819999999999995</v>
      </c>
    </row>
    <row r="1258" spans="1:9" x14ac:dyDescent="0.25">
      <c r="A1258" t="s">
        <v>203</v>
      </c>
      <c r="B1258" t="s">
        <v>228</v>
      </c>
      <c r="C1258">
        <v>113</v>
      </c>
      <c r="D1258" t="s">
        <v>200</v>
      </c>
      <c r="E1258">
        <v>1778</v>
      </c>
      <c r="G1258" s="1">
        <v>2.0899999999999998E-2</v>
      </c>
      <c r="I1258" s="1">
        <v>0.97909999999999997</v>
      </c>
    </row>
    <row r="1259" spans="1:9" x14ac:dyDescent="0.25">
      <c r="A1259" t="s">
        <v>203</v>
      </c>
      <c r="B1259" t="s">
        <v>228</v>
      </c>
      <c r="C1259">
        <v>119</v>
      </c>
      <c r="D1259" t="s">
        <v>201</v>
      </c>
      <c r="E1259">
        <v>1778</v>
      </c>
      <c r="G1259" s="1">
        <v>5.3900000000000003E-2</v>
      </c>
      <c r="I1259" s="1">
        <v>0.94610000000000005</v>
      </c>
    </row>
    <row r="1260" spans="1:9" x14ac:dyDescent="0.25">
      <c r="A1260" t="s">
        <v>203</v>
      </c>
      <c r="B1260" t="s">
        <v>229</v>
      </c>
      <c r="C1260">
        <v>93</v>
      </c>
      <c r="D1260" t="s">
        <v>201</v>
      </c>
      <c r="E1260">
        <v>1778</v>
      </c>
      <c r="G1260" s="1">
        <v>9.0899999999999995E-2</v>
      </c>
      <c r="I1260" s="1">
        <v>0.90910000000000002</v>
      </c>
    </row>
    <row r="1261" spans="1:9" x14ac:dyDescent="0.25">
      <c r="A1261" t="s">
        <v>203</v>
      </c>
      <c r="B1261" t="s">
        <v>228</v>
      </c>
      <c r="C1261">
        <v>43</v>
      </c>
      <c r="D1261" t="s">
        <v>202</v>
      </c>
      <c r="E1261">
        <v>1778</v>
      </c>
      <c r="G1261" s="1">
        <v>2.46E-2</v>
      </c>
      <c r="I1261" s="1">
        <v>0.97540000000000004</v>
      </c>
    </row>
    <row r="1262" spans="1:9" s="29" customFormat="1" x14ac:dyDescent="0.25">
      <c r="A1262" s="29" t="s">
        <v>203</v>
      </c>
      <c r="B1262" s="29" t="s">
        <v>229</v>
      </c>
      <c r="C1262" s="29">
        <v>29</v>
      </c>
      <c r="D1262" s="29" t="s">
        <v>202</v>
      </c>
      <c r="E1262" s="29">
        <v>1778</v>
      </c>
      <c r="G1262" s="30">
        <v>1.4200000000000001E-2</v>
      </c>
      <c r="I1262" s="30">
        <v>0.98580000000000001</v>
      </c>
    </row>
    <row r="1263" spans="1:9" x14ac:dyDescent="0.25">
      <c r="A1263" t="s">
        <v>204</v>
      </c>
      <c r="B1263" t="s">
        <v>204</v>
      </c>
      <c r="C1263">
        <v>1778</v>
      </c>
      <c r="D1263" t="s">
        <v>204</v>
      </c>
      <c r="E1263">
        <v>1778</v>
      </c>
      <c r="F1263" s="1">
        <v>4.0000000000000002E-4</v>
      </c>
      <c r="G1263" s="1">
        <v>4.9099999999999998E-2</v>
      </c>
      <c r="H1263" s="1">
        <v>4.0000000000000002E-4</v>
      </c>
      <c r="I1263" s="1">
        <v>0.95</v>
      </c>
    </row>
    <row r="1265" spans="1:9" x14ac:dyDescent="0.25">
      <c r="A1265" t="s">
        <v>416</v>
      </c>
    </row>
    <row r="1266" spans="1:9" x14ac:dyDescent="0.25">
      <c r="A1266" t="s">
        <v>190</v>
      </c>
      <c r="B1266" t="s">
        <v>206</v>
      </c>
      <c r="C1266" t="s">
        <v>195</v>
      </c>
      <c r="D1266" t="s">
        <v>189</v>
      </c>
      <c r="E1266" t="s">
        <v>196</v>
      </c>
      <c r="F1266" t="s">
        <v>220</v>
      </c>
      <c r="G1266" t="s">
        <v>207</v>
      </c>
      <c r="H1266" t="s">
        <v>215</v>
      </c>
      <c r="I1266" t="s">
        <v>208</v>
      </c>
    </row>
    <row r="1267" spans="1:9" x14ac:dyDescent="0.25">
      <c r="A1267" t="s">
        <v>198</v>
      </c>
      <c r="B1267" t="s">
        <v>348</v>
      </c>
      <c r="C1267">
        <v>32</v>
      </c>
      <c r="D1267" t="s">
        <v>197</v>
      </c>
      <c r="E1267">
        <v>1778</v>
      </c>
      <c r="G1267" s="1">
        <v>8.7800000000000003E-2</v>
      </c>
      <c r="I1267" s="1">
        <v>0.91220000000000001</v>
      </c>
    </row>
    <row r="1268" spans="1:9" s="29" customFormat="1" x14ac:dyDescent="0.25">
      <c r="A1268" s="29" t="s">
        <v>198</v>
      </c>
      <c r="B1268" s="29" t="s">
        <v>349</v>
      </c>
      <c r="C1268" s="29">
        <v>4</v>
      </c>
      <c r="D1268" s="29" t="s">
        <v>197</v>
      </c>
      <c r="E1268" s="29">
        <v>1778</v>
      </c>
      <c r="I1268" s="30">
        <v>1</v>
      </c>
    </row>
    <row r="1269" spans="1:9" s="29" customFormat="1" x14ac:dyDescent="0.25">
      <c r="A1269" s="29" t="s">
        <v>198</v>
      </c>
      <c r="B1269" s="29" t="s">
        <v>348</v>
      </c>
      <c r="C1269" s="29">
        <v>19</v>
      </c>
      <c r="D1269" s="29" t="s">
        <v>199</v>
      </c>
      <c r="E1269" s="29">
        <v>1778</v>
      </c>
      <c r="G1269" s="30">
        <v>0.1278</v>
      </c>
      <c r="I1269" s="30">
        <v>0.87219999999999998</v>
      </c>
    </row>
    <row r="1270" spans="1:9" x14ac:dyDescent="0.25">
      <c r="A1270" t="s">
        <v>198</v>
      </c>
      <c r="B1270" t="s">
        <v>349</v>
      </c>
      <c r="C1270">
        <v>86</v>
      </c>
      <c r="D1270" t="s">
        <v>199</v>
      </c>
      <c r="E1270">
        <v>1778</v>
      </c>
      <c r="G1270" s="1">
        <v>7.0400000000000004E-2</v>
      </c>
      <c r="I1270" s="1">
        <v>0.92959999999999998</v>
      </c>
    </row>
    <row r="1271" spans="1:9" x14ac:dyDescent="0.25">
      <c r="A1271" t="s">
        <v>198</v>
      </c>
      <c r="B1271" t="s">
        <v>350</v>
      </c>
      <c r="C1271">
        <v>135</v>
      </c>
      <c r="D1271" t="s">
        <v>199</v>
      </c>
      <c r="E1271">
        <v>1778</v>
      </c>
      <c r="F1271" s="1">
        <v>8.0000000000000002E-3</v>
      </c>
      <c r="G1271" s="1">
        <v>0.1142</v>
      </c>
      <c r="I1271" s="1">
        <v>0.87780000000000002</v>
      </c>
    </row>
    <row r="1272" spans="1:9" x14ac:dyDescent="0.25">
      <c r="A1272" t="s">
        <v>198</v>
      </c>
      <c r="B1272" t="s">
        <v>350</v>
      </c>
      <c r="C1272">
        <v>50</v>
      </c>
      <c r="D1272" t="s">
        <v>200</v>
      </c>
      <c r="E1272">
        <v>1778</v>
      </c>
      <c r="G1272" s="1">
        <v>0.20979999999999999</v>
      </c>
      <c r="I1272" s="1">
        <v>0.79020000000000001</v>
      </c>
    </row>
    <row r="1273" spans="1:9" x14ac:dyDescent="0.25">
      <c r="A1273" t="s">
        <v>198</v>
      </c>
      <c r="B1273" t="s">
        <v>348</v>
      </c>
      <c r="C1273">
        <v>171</v>
      </c>
      <c r="D1273" t="s">
        <v>200</v>
      </c>
      <c r="E1273">
        <v>1778</v>
      </c>
      <c r="G1273" s="1">
        <v>2.1000000000000001E-2</v>
      </c>
      <c r="H1273" s="1">
        <v>2.8999999999999998E-3</v>
      </c>
      <c r="I1273" s="1">
        <v>0.97609999999999997</v>
      </c>
    </row>
    <row r="1274" spans="1:9" x14ac:dyDescent="0.25">
      <c r="A1274" t="s">
        <v>198</v>
      </c>
      <c r="B1274" t="s">
        <v>349</v>
      </c>
      <c r="C1274">
        <v>50</v>
      </c>
      <c r="D1274" t="s">
        <v>200</v>
      </c>
      <c r="E1274">
        <v>1778</v>
      </c>
      <c r="G1274" s="1">
        <v>2.2800000000000001E-2</v>
      </c>
      <c r="I1274" s="1">
        <v>0.97719999999999996</v>
      </c>
    </row>
    <row r="1275" spans="1:9" x14ac:dyDescent="0.25">
      <c r="A1275" t="s">
        <v>198</v>
      </c>
      <c r="B1275" t="s">
        <v>349</v>
      </c>
      <c r="C1275">
        <v>93</v>
      </c>
      <c r="D1275" t="s">
        <v>201</v>
      </c>
      <c r="E1275">
        <v>1778</v>
      </c>
      <c r="G1275" s="1">
        <v>1.03E-2</v>
      </c>
      <c r="I1275" s="1">
        <v>0.98970000000000002</v>
      </c>
    </row>
    <row r="1276" spans="1:9" x14ac:dyDescent="0.25">
      <c r="A1276" t="s">
        <v>198</v>
      </c>
      <c r="B1276" t="s">
        <v>350</v>
      </c>
      <c r="C1276">
        <v>44</v>
      </c>
      <c r="D1276" t="s">
        <v>201</v>
      </c>
      <c r="E1276">
        <v>1778</v>
      </c>
      <c r="G1276" s="1">
        <v>3.9199999999999999E-2</v>
      </c>
      <c r="I1276" s="1">
        <v>0.96079999999999999</v>
      </c>
    </row>
    <row r="1277" spans="1:9" x14ac:dyDescent="0.25">
      <c r="A1277" t="s">
        <v>198</v>
      </c>
      <c r="B1277" t="s">
        <v>348</v>
      </c>
      <c r="C1277">
        <v>52</v>
      </c>
      <c r="D1277" t="s">
        <v>201</v>
      </c>
      <c r="E1277">
        <v>1778</v>
      </c>
      <c r="G1277" s="1">
        <v>4.9000000000000002E-2</v>
      </c>
      <c r="I1277" s="1">
        <v>0.95099999999999996</v>
      </c>
    </row>
    <row r="1278" spans="1:9" x14ac:dyDescent="0.25">
      <c r="A1278" t="s">
        <v>198</v>
      </c>
      <c r="B1278" t="s">
        <v>348</v>
      </c>
      <c r="C1278">
        <v>54</v>
      </c>
      <c r="D1278" t="s">
        <v>202</v>
      </c>
      <c r="E1278">
        <v>1778</v>
      </c>
      <c r="G1278" s="1">
        <v>3.15E-2</v>
      </c>
      <c r="I1278" s="1">
        <v>0.96850000000000003</v>
      </c>
    </row>
    <row r="1279" spans="1:9" x14ac:dyDescent="0.25">
      <c r="A1279" t="s">
        <v>203</v>
      </c>
      <c r="B1279" t="s">
        <v>349</v>
      </c>
      <c r="C1279">
        <v>111</v>
      </c>
      <c r="D1279" t="s">
        <v>199</v>
      </c>
      <c r="E1279">
        <v>1778</v>
      </c>
      <c r="G1279" s="1">
        <v>5.4399999999999997E-2</v>
      </c>
      <c r="I1279" s="1">
        <v>0.9456</v>
      </c>
    </row>
    <row r="1280" spans="1:9" s="29" customFormat="1" x14ac:dyDescent="0.25">
      <c r="A1280" s="29" t="s">
        <v>203</v>
      </c>
      <c r="B1280" s="29" t="s">
        <v>348</v>
      </c>
      <c r="C1280" s="29">
        <v>20</v>
      </c>
      <c r="D1280" s="29" t="s">
        <v>199</v>
      </c>
      <c r="E1280" s="29">
        <v>1778</v>
      </c>
      <c r="G1280" s="30">
        <v>0.45569999999999999</v>
      </c>
      <c r="I1280" s="30">
        <v>0.54430000000000001</v>
      </c>
    </row>
    <row r="1281" spans="1:9" x14ac:dyDescent="0.25">
      <c r="A1281" t="s">
        <v>203</v>
      </c>
      <c r="B1281" t="s">
        <v>350</v>
      </c>
      <c r="C1281">
        <v>223</v>
      </c>
      <c r="D1281" t="s">
        <v>199</v>
      </c>
      <c r="E1281">
        <v>1778</v>
      </c>
      <c r="G1281" s="1">
        <v>9.0999999999999998E-2</v>
      </c>
      <c r="I1281" s="1">
        <v>0.90900000000000003</v>
      </c>
    </row>
    <row r="1282" spans="1:9" x14ac:dyDescent="0.25">
      <c r="A1282" t="s">
        <v>203</v>
      </c>
      <c r="B1282" t="s">
        <v>348</v>
      </c>
      <c r="C1282">
        <v>185</v>
      </c>
      <c r="D1282" t="s">
        <v>200</v>
      </c>
      <c r="E1282">
        <v>1778</v>
      </c>
      <c r="G1282" s="1">
        <v>2.76E-2</v>
      </c>
      <c r="I1282" s="1">
        <v>0.97240000000000004</v>
      </c>
    </row>
    <row r="1283" spans="1:9" x14ac:dyDescent="0.25">
      <c r="A1283" t="s">
        <v>203</v>
      </c>
      <c r="B1283" t="s">
        <v>349</v>
      </c>
      <c r="C1283">
        <v>66</v>
      </c>
      <c r="D1283" t="s">
        <v>200</v>
      </c>
      <c r="E1283">
        <v>1778</v>
      </c>
      <c r="G1283" s="1">
        <v>5.4300000000000001E-2</v>
      </c>
      <c r="I1283" s="1">
        <v>0.94569999999999999</v>
      </c>
    </row>
    <row r="1284" spans="1:9" x14ac:dyDescent="0.25">
      <c r="A1284" t="s">
        <v>203</v>
      </c>
      <c r="B1284" t="s">
        <v>350</v>
      </c>
      <c r="C1284">
        <v>70</v>
      </c>
      <c r="D1284" t="s">
        <v>200</v>
      </c>
      <c r="E1284">
        <v>1778</v>
      </c>
      <c r="G1284" s="1">
        <v>1.8599999999999998E-2</v>
      </c>
      <c r="I1284" s="1">
        <v>0.98140000000000005</v>
      </c>
    </row>
    <row r="1285" spans="1:9" x14ac:dyDescent="0.25">
      <c r="A1285" t="s">
        <v>203</v>
      </c>
      <c r="B1285" t="s">
        <v>348</v>
      </c>
      <c r="C1285">
        <v>46</v>
      </c>
      <c r="D1285" t="s">
        <v>201</v>
      </c>
      <c r="E1285">
        <v>1778</v>
      </c>
      <c r="G1285" s="1">
        <v>9.0300000000000005E-2</v>
      </c>
      <c r="I1285" s="1">
        <v>0.90969999999999995</v>
      </c>
    </row>
    <row r="1286" spans="1:9" x14ac:dyDescent="0.25">
      <c r="A1286" t="s">
        <v>203</v>
      </c>
      <c r="B1286" t="s">
        <v>349</v>
      </c>
      <c r="C1286">
        <v>101</v>
      </c>
      <c r="D1286" t="s">
        <v>201</v>
      </c>
      <c r="E1286">
        <v>1778</v>
      </c>
      <c r="G1286" s="1">
        <v>7.0699999999999999E-2</v>
      </c>
      <c r="I1286" s="1">
        <v>0.92930000000000001</v>
      </c>
    </row>
    <row r="1287" spans="1:9" x14ac:dyDescent="0.25">
      <c r="A1287" t="s">
        <v>203</v>
      </c>
      <c r="B1287" t="s">
        <v>350</v>
      </c>
      <c r="C1287">
        <v>65</v>
      </c>
      <c r="D1287" t="s">
        <v>201</v>
      </c>
      <c r="E1287">
        <v>1778</v>
      </c>
      <c r="G1287" s="1">
        <v>0.16059999999999999</v>
      </c>
      <c r="I1287" s="1">
        <v>0.83940000000000003</v>
      </c>
    </row>
    <row r="1288" spans="1:9" x14ac:dyDescent="0.25">
      <c r="A1288" t="s">
        <v>203</v>
      </c>
      <c r="B1288" t="s">
        <v>348</v>
      </c>
      <c r="C1288">
        <v>72</v>
      </c>
      <c r="D1288" t="s">
        <v>202</v>
      </c>
      <c r="E1288">
        <v>1778</v>
      </c>
      <c r="G1288" s="1">
        <v>1.9E-2</v>
      </c>
      <c r="I1288" s="1">
        <v>0.98099999999999998</v>
      </c>
    </row>
    <row r="1289" spans="1:9" x14ac:dyDescent="0.25">
      <c r="A1289" t="s">
        <v>204</v>
      </c>
      <c r="B1289" t="s">
        <v>204</v>
      </c>
      <c r="C1289">
        <v>1778</v>
      </c>
      <c r="D1289" t="s">
        <v>204</v>
      </c>
      <c r="E1289">
        <v>1778</v>
      </c>
      <c r="F1289" s="1">
        <v>4.0000000000000002E-4</v>
      </c>
      <c r="G1289" s="1">
        <v>4.9099999999999998E-2</v>
      </c>
      <c r="H1289" s="1">
        <v>4.0000000000000002E-4</v>
      </c>
      <c r="I1289" s="1">
        <v>0.95</v>
      </c>
    </row>
    <row r="1291" spans="1:9" x14ac:dyDescent="0.25">
      <c r="A1291" t="s">
        <v>417</v>
      </c>
    </row>
    <row r="1292" spans="1:9" x14ac:dyDescent="0.25">
      <c r="A1292" t="s">
        <v>190</v>
      </c>
      <c r="B1292" t="s">
        <v>195</v>
      </c>
      <c r="C1292" t="s">
        <v>189</v>
      </c>
      <c r="D1292" t="s">
        <v>196</v>
      </c>
      <c r="E1292" t="s">
        <v>418</v>
      </c>
      <c r="F1292" t="s">
        <v>419</v>
      </c>
      <c r="G1292" t="s">
        <v>420</v>
      </c>
    </row>
    <row r="1293" spans="1:9" x14ac:dyDescent="0.25">
      <c r="A1293" t="s">
        <v>198</v>
      </c>
      <c r="B1293">
        <v>33</v>
      </c>
      <c r="C1293" t="s">
        <v>197</v>
      </c>
      <c r="D1293">
        <v>1659</v>
      </c>
      <c r="E1293" s="1">
        <v>0.3553</v>
      </c>
      <c r="F1293" s="1">
        <v>0.29210000000000003</v>
      </c>
      <c r="G1293" s="1">
        <v>0.35270000000000001</v>
      </c>
    </row>
    <row r="1294" spans="1:9" x14ac:dyDescent="0.25">
      <c r="A1294" t="s">
        <v>198</v>
      </c>
      <c r="B1294">
        <v>223</v>
      </c>
      <c r="C1294" t="s">
        <v>199</v>
      </c>
      <c r="D1294">
        <v>1659</v>
      </c>
      <c r="E1294" s="1">
        <v>0.1308</v>
      </c>
      <c r="F1294" s="1">
        <v>6.5500000000000003E-2</v>
      </c>
      <c r="G1294" s="1">
        <v>0.80369999999999997</v>
      </c>
    </row>
    <row r="1295" spans="1:9" x14ac:dyDescent="0.25">
      <c r="A1295" t="s">
        <v>198</v>
      </c>
      <c r="B1295">
        <v>259</v>
      </c>
      <c r="C1295" t="s">
        <v>200</v>
      </c>
      <c r="D1295">
        <v>1659</v>
      </c>
      <c r="E1295" s="1">
        <v>0.29809999999999998</v>
      </c>
      <c r="F1295" s="1">
        <v>0.4415</v>
      </c>
      <c r="G1295" s="1">
        <v>0.26040000000000002</v>
      </c>
    </row>
    <row r="1296" spans="1:9" x14ac:dyDescent="0.25">
      <c r="A1296" t="s">
        <v>198</v>
      </c>
      <c r="B1296">
        <v>187</v>
      </c>
      <c r="C1296" t="s">
        <v>201</v>
      </c>
      <c r="D1296">
        <v>1659</v>
      </c>
      <c r="E1296" s="1">
        <v>0.24590000000000001</v>
      </c>
      <c r="F1296" s="1">
        <v>0.2571</v>
      </c>
      <c r="G1296" s="1">
        <v>0.497</v>
      </c>
    </row>
    <row r="1297" spans="1:8" x14ac:dyDescent="0.25">
      <c r="A1297" t="s">
        <v>198</v>
      </c>
      <c r="B1297">
        <v>50</v>
      </c>
      <c r="C1297" t="s">
        <v>202</v>
      </c>
      <c r="D1297">
        <v>1659</v>
      </c>
      <c r="E1297" s="1">
        <v>0.18559999999999999</v>
      </c>
      <c r="F1297" s="1">
        <v>0.59760000000000002</v>
      </c>
      <c r="G1297" s="1">
        <v>0.21679999999999999</v>
      </c>
    </row>
    <row r="1298" spans="1:8" x14ac:dyDescent="0.25">
      <c r="A1298" t="s">
        <v>203</v>
      </c>
      <c r="B1298">
        <v>327</v>
      </c>
      <c r="C1298" t="s">
        <v>199</v>
      </c>
      <c r="D1298">
        <v>1659</v>
      </c>
      <c r="E1298" s="1">
        <v>0.19020000000000001</v>
      </c>
      <c r="F1298" s="1">
        <v>5.6000000000000001E-2</v>
      </c>
      <c r="G1298" s="1">
        <v>0.75380000000000003</v>
      </c>
    </row>
    <row r="1299" spans="1:8" x14ac:dyDescent="0.25">
      <c r="A1299" t="s">
        <v>203</v>
      </c>
      <c r="B1299">
        <v>308</v>
      </c>
      <c r="C1299" t="s">
        <v>200</v>
      </c>
      <c r="D1299">
        <v>1659</v>
      </c>
      <c r="E1299" s="1">
        <v>0.40860000000000002</v>
      </c>
      <c r="F1299" s="1">
        <v>0.5232</v>
      </c>
      <c r="G1299" s="1">
        <v>6.8199999999999997E-2</v>
      </c>
    </row>
    <row r="1300" spans="1:8" x14ac:dyDescent="0.25">
      <c r="A1300" t="s">
        <v>203</v>
      </c>
      <c r="B1300">
        <v>203</v>
      </c>
      <c r="C1300" t="s">
        <v>201</v>
      </c>
      <c r="D1300">
        <v>1659</v>
      </c>
      <c r="E1300" s="1">
        <v>0.2107</v>
      </c>
      <c r="F1300" s="1">
        <v>0.17169999999999999</v>
      </c>
      <c r="G1300" s="1">
        <v>0.61760000000000004</v>
      </c>
    </row>
    <row r="1301" spans="1:8" x14ac:dyDescent="0.25">
      <c r="A1301" t="s">
        <v>203</v>
      </c>
      <c r="B1301">
        <v>69</v>
      </c>
      <c r="C1301" t="s">
        <v>202</v>
      </c>
      <c r="D1301">
        <v>1659</v>
      </c>
      <c r="E1301" s="1">
        <v>6.1100000000000002E-2</v>
      </c>
      <c r="F1301" s="1">
        <v>0.90920000000000001</v>
      </c>
      <c r="G1301" s="1">
        <v>2.9700000000000001E-2</v>
      </c>
    </row>
    <row r="1302" spans="1:8" x14ac:dyDescent="0.25">
      <c r="A1302" t="s">
        <v>204</v>
      </c>
      <c r="B1302">
        <v>1659</v>
      </c>
      <c r="C1302" t="s">
        <v>204</v>
      </c>
      <c r="D1302">
        <v>1659</v>
      </c>
      <c r="E1302" s="1">
        <v>0.27389999999999998</v>
      </c>
      <c r="F1302" s="1">
        <v>0.39140000000000003</v>
      </c>
      <c r="G1302" s="1">
        <v>0.3347</v>
      </c>
    </row>
    <row r="1304" spans="1:8" x14ac:dyDescent="0.25">
      <c r="A1304" t="s">
        <v>421</v>
      </c>
    </row>
    <row r="1305" spans="1:8" x14ac:dyDescent="0.25">
      <c r="A1305" t="s">
        <v>190</v>
      </c>
      <c r="B1305" t="s">
        <v>206</v>
      </c>
      <c r="C1305" t="s">
        <v>195</v>
      </c>
      <c r="D1305" t="s">
        <v>189</v>
      </c>
      <c r="E1305" t="s">
        <v>196</v>
      </c>
      <c r="F1305" t="s">
        <v>418</v>
      </c>
      <c r="G1305" t="s">
        <v>419</v>
      </c>
      <c r="H1305" t="s">
        <v>420</v>
      </c>
    </row>
    <row r="1306" spans="1:8" s="29" customFormat="1" x14ac:dyDescent="0.25">
      <c r="A1306" s="29" t="s">
        <v>198</v>
      </c>
      <c r="B1306" s="29" t="s">
        <v>228</v>
      </c>
      <c r="C1306" s="29">
        <v>14</v>
      </c>
      <c r="D1306" s="29" t="s">
        <v>197</v>
      </c>
      <c r="E1306" s="29">
        <v>1659</v>
      </c>
      <c r="F1306" s="30">
        <v>0.224</v>
      </c>
      <c r="G1306" s="30">
        <v>0.32290000000000002</v>
      </c>
      <c r="H1306" s="30">
        <v>0.45300000000000001</v>
      </c>
    </row>
    <row r="1307" spans="1:8" s="29" customFormat="1" x14ac:dyDescent="0.25">
      <c r="A1307" s="29" t="s">
        <v>198</v>
      </c>
      <c r="B1307" s="29" t="s">
        <v>229</v>
      </c>
      <c r="C1307" s="29">
        <v>19</v>
      </c>
      <c r="D1307" s="29" t="s">
        <v>197</v>
      </c>
      <c r="E1307" s="29">
        <v>1659</v>
      </c>
      <c r="F1307" s="30">
        <v>0.43719999999999998</v>
      </c>
      <c r="G1307" s="30">
        <v>0.27279999999999999</v>
      </c>
      <c r="H1307" s="30">
        <v>0.28999999999999998</v>
      </c>
    </row>
    <row r="1308" spans="1:8" x14ac:dyDescent="0.25">
      <c r="A1308" t="s">
        <v>198</v>
      </c>
      <c r="B1308" t="s">
        <v>228</v>
      </c>
      <c r="C1308">
        <v>117</v>
      </c>
      <c r="D1308" t="s">
        <v>199</v>
      </c>
      <c r="E1308">
        <v>1659</v>
      </c>
      <c r="F1308" s="1">
        <v>0.1404</v>
      </c>
      <c r="H1308" s="1">
        <v>0.85960000000000003</v>
      </c>
    </row>
    <row r="1309" spans="1:8" x14ac:dyDescent="0.25">
      <c r="A1309" t="s">
        <v>198</v>
      </c>
      <c r="B1309" t="s">
        <v>229</v>
      </c>
      <c r="C1309">
        <v>102</v>
      </c>
      <c r="D1309" t="s">
        <v>199</v>
      </c>
      <c r="E1309">
        <v>1659</v>
      </c>
      <c r="F1309" s="1">
        <v>0.1278</v>
      </c>
      <c r="G1309" s="1">
        <v>9.9599999999999994E-2</v>
      </c>
      <c r="H1309" s="1">
        <v>0.77270000000000005</v>
      </c>
    </row>
    <row r="1310" spans="1:8" x14ac:dyDescent="0.25">
      <c r="A1310" t="s">
        <v>198</v>
      </c>
      <c r="B1310" t="s">
        <v>229</v>
      </c>
      <c r="C1310">
        <v>187</v>
      </c>
      <c r="D1310" t="s">
        <v>200</v>
      </c>
      <c r="E1310">
        <v>1659</v>
      </c>
      <c r="F1310" s="1">
        <v>0.29509999999999997</v>
      </c>
      <c r="G1310" s="1">
        <v>0.47010000000000002</v>
      </c>
      <c r="H1310" s="1">
        <v>0.23480000000000001</v>
      </c>
    </row>
    <row r="1311" spans="1:8" x14ac:dyDescent="0.25">
      <c r="A1311" t="s">
        <v>198</v>
      </c>
      <c r="B1311" t="s">
        <v>228</v>
      </c>
      <c r="C1311">
        <v>69</v>
      </c>
      <c r="D1311" t="s">
        <v>200</v>
      </c>
      <c r="E1311">
        <v>1659</v>
      </c>
      <c r="F1311" s="1">
        <v>0.31530000000000002</v>
      </c>
      <c r="G1311" s="1">
        <v>0.318</v>
      </c>
      <c r="H1311" s="1">
        <v>0.36659999999999998</v>
      </c>
    </row>
    <row r="1312" spans="1:8" x14ac:dyDescent="0.25">
      <c r="A1312" t="s">
        <v>198</v>
      </c>
      <c r="B1312" t="s">
        <v>228</v>
      </c>
      <c r="C1312">
        <v>73</v>
      </c>
      <c r="D1312" t="s">
        <v>201</v>
      </c>
      <c r="E1312">
        <v>1659</v>
      </c>
      <c r="F1312" s="1">
        <v>0.18459999999999999</v>
      </c>
      <c r="G1312" s="1">
        <v>0.29909999999999998</v>
      </c>
      <c r="H1312" s="1">
        <v>0.51629999999999998</v>
      </c>
    </row>
    <row r="1313" spans="1:8" x14ac:dyDescent="0.25">
      <c r="A1313" t="s">
        <v>198</v>
      </c>
      <c r="B1313" t="s">
        <v>229</v>
      </c>
      <c r="C1313">
        <v>106</v>
      </c>
      <c r="D1313" t="s">
        <v>201</v>
      </c>
      <c r="E1313">
        <v>1659</v>
      </c>
      <c r="F1313" s="1">
        <v>0.25309999999999999</v>
      </c>
      <c r="G1313" s="1">
        <v>0.25309999999999999</v>
      </c>
      <c r="H1313" s="1">
        <v>0.49380000000000002</v>
      </c>
    </row>
    <row r="1314" spans="1:8" s="29" customFormat="1" x14ac:dyDescent="0.25">
      <c r="A1314" s="29" t="s">
        <v>198</v>
      </c>
      <c r="B1314" s="29" t="s">
        <v>229</v>
      </c>
      <c r="C1314" s="29">
        <v>27</v>
      </c>
      <c r="D1314" s="29" t="s">
        <v>202</v>
      </c>
      <c r="E1314" s="29">
        <v>1659</v>
      </c>
      <c r="F1314" s="30">
        <v>0.19969999999999999</v>
      </c>
      <c r="G1314" s="30">
        <v>0.60250000000000004</v>
      </c>
      <c r="H1314" s="30">
        <v>0.1978</v>
      </c>
    </row>
    <row r="1315" spans="1:8" s="29" customFormat="1" x14ac:dyDescent="0.25">
      <c r="A1315" s="29" t="s">
        <v>198</v>
      </c>
      <c r="B1315" s="29" t="s">
        <v>228</v>
      </c>
      <c r="C1315" s="29">
        <v>23</v>
      </c>
      <c r="D1315" s="29" t="s">
        <v>202</v>
      </c>
      <c r="E1315" s="29">
        <v>1659</v>
      </c>
      <c r="F1315" s="30">
        <v>0.1515</v>
      </c>
      <c r="G1315" s="30">
        <v>0.58560000000000001</v>
      </c>
      <c r="H1315" s="30">
        <v>0.26290000000000002</v>
      </c>
    </row>
    <row r="1316" spans="1:8" x14ac:dyDescent="0.25">
      <c r="A1316" t="s">
        <v>203</v>
      </c>
      <c r="B1316" t="s">
        <v>228</v>
      </c>
      <c r="C1316">
        <v>123</v>
      </c>
      <c r="D1316" t="s">
        <v>199</v>
      </c>
      <c r="E1316">
        <v>1659</v>
      </c>
      <c r="F1316" s="1">
        <v>0.22040000000000001</v>
      </c>
      <c r="G1316" s="1">
        <v>2.3300000000000001E-2</v>
      </c>
      <c r="H1316" s="1">
        <v>0.75629999999999997</v>
      </c>
    </row>
    <row r="1317" spans="1:8" x14ac:dyDescent="0.25">
      <c r="A1317" t="s">
        <v>203</v>
      </c>
      <c r="B1317" t="s">
        <v>229</v>
      </c>
      <c r="C1317">
        <v>199</v>
      </c>
      <c r="D1317" t="s">
        <v>199</v>
      </c>
      <c r="E1317">
        <v>1659</v>
      </c>
      <c r="F1317" s="1">
        <v>0.18659999999999999</v>
      </c>
      <c r="G1317" s="1">
        <v>6.0199999999999997E-2</v>
      </c>
      <c r="H1317" s="1">
        <v>0.75319999999999998</v>
      </c>
    </row>
    <row r="1318" spans="1:8" x14ac:dyDescent="0.25">
      <c r="A1318" t="s">
        <v>203</v>
      </c>
      <c r="B1318" t="s">
        <v>229</v>
      </c>
      <c r="C1318">
        <v>197</v>
      </c>
      <c r="D1318" t="s">
        <v>200</v>
      </c>
      <c r="E1318">
        <v>1659</v>
      </c>
      <c r="F1318" s="1">
        <v>0.42280000000000001</v>
      </c>
      <c r="G1318" s="1">
        <v>0.50719999999999998</v>
      </c>
      <c r="H1318" s="1">
        <v>7.0099999999999996E-2</v>
      </c>
    </row>
    <row r="1319" spans="1:8" x14ac:dyDescent="0.25">
      <c r="A1319" t="s">
        <v>203</v>
      </c>
      <c r="B1319" t="s">
        <v>228</v>
      </c>
      <c r="C1319">
        <v>110</v>
      </c>
      <c r="D1319" t="s">
        <v>200</v>
      </c>
      <c r="E1319">
        <v>1659</v>
      </c>
      <c r="F1319" s="1">
        <v>0.36599999999999999</v>
      </c>
      <c r="G1319" s="1">
        <v>0.57210000000000005</v>
      </c>
      <c r="H1319" s="1">
        <v>6.1899999999999997E-2</v>
      </c>
    </row>
    <row r="1320" spans="1:8" x14ac:dyDescent="0.25">
      <c r="A1320" t="s">
        <v>203</v>
      </c>
      <c r="B1320" t="s">
        <v>228</v>
      </c>
      <c r="C1320">
        <v>112</v>
      </c>
      <c r="D1320" t="s">
        <v>201</v>
      </c>
      <c r="E1320">
        <v>1659</v>
      </c>
      <c r="F1320" s="1">
        <v>0.16500000000000001</v>
      </c>
      <c r="G1320" s="1">
        <v>0.2097</v>
      </c>
      <c r="H1320" s="1">
        <v>0.62529999999999997</v>
      </c>
    </row>
    <row r="1321" spans="1:8" x14ac:dyDescent="0.25">
      <c r="A1321" t="s">
        <v>203</v>
      </c>
      <c r="B1321" t="s">
        <v>229</v>
      </c>
      <c r="C1321">
        <v>85</v>
      </c>
      <c r="D1321" t="s">
        <v>201</v>
      </c>
      <c r="E1321">
        <v>1659</v>
      </c>
      <c r="F1321" s="1">
        <v>0.2296</v>
      </c>
      <c r="G1321" s="1">
        <v>0.1583</v>
      </c>
      <c r="H1321" s="1">
        <v>0.61219999999999997</v>
      </c>
    </row>
    <row r="1322" spans="1:8" x14ac:dyDescent="0.25">
      <c r="A1322" t="s">
        <v>203</v>
      </c>
      <c r="B1322" t="s">
        <v>228</v>
      </c>
      <c r="C1322">
        <v>41</v>
      </c>
      <c r="D1322" t="s">
        <v>202</v>
      </c>
      <c r="E1322">
        <v>1659</v>
      </c>
      <c r="F1322" s="1">
        <v>9.1999999999999998E-2</v>
      </c>
      <c r="G1322" s="1">
        <v>0.84379999999999999</v>
      </c>
      <c r="H1322" s="1">
        <v>6.4199999999999993E-2</v>
      </c>
    </row>
    <row r="1323" spans="1:8" s="29" customFormat="1" x14ac:dyDescent="0.25">
      <c r="A1323" s="29" t="s">
        <v>203</v>
      </c>
      <c r="B1323" s="29" t="s">
        <v>229</v>
      </c>
      <c r="C1323" s="29">
        <v>28</v>
      </c>
      <c r="D1323" s="29" t="s">
        <v>202</v>
      </c>
      <c r="E1323" s="29">
        <v>1659</v>
      </c>
      <c r="F1323" s="30">
        <v>3.4500000000000003E-2</v>
      </c>
      <c r="G1323" s="30">
        <v>0.96550000000000002</v>
      </c>
    </row>
    <row r="1324" spans="1:8" x14ac:dyDescent="0.25">
      <c r="A1324" t="s">
        <v>204</v>
      </c>
      <c r="B1324" t="s">
        <v>204</v>
      </c>
      <c r="C1324">
        <v>1659</v>
      </c>
      <c r="D1324" t="s">
        <v>204</v>
      </c>
      <c r="E1324">
        <v>1659</v>
      </c>
      <c r="F1324" s="1">
        <v>0.27389999999999998</v>
      </c>
      <c r="G1324" s="1">
        <v>0.39140000000000003</v>
      </c>
      <c r="H1324" s="1">
        <v>0.3347</v>
      </c>
    </row>
    <row r="1326" spans="1:8" x14ac:dyDescent="0.25">
      <c r="A1326" t="s">
        <v>422</v>
      </c>
    </row>
    <row r="1327" spans="1:8" x14ac:dyDescent="0.25">
      <c r="A1327" t="s">
        <v>190</v>
      </c>
      <c r="B1327" t="s">
        <v>206</v>
      </c>
      <c r="C1327" t="s">
        <v>195</v>
      </c>
      <c r="D1327" t="s">
        <v>189</v>
      </c>
      <c r="E1327" t="s">
        <v>196</v>
      </c>
      <c r="F1327" t="s">
        <v>418</v>
      </c>
      <c r="G1327" t="s">
        <v>419</v>
      </c>
      <c r="H1327" t="s">
        <v>420</v>
      </c>
    </row>
    <row r="1328" spans="1:8" s="29" customFormat="1" x14ac:dyDescent="0.25">
      <c r="A1328" s="29" t="s">
        <v>198</v>
      </c>
      <c r="B1328" s="29" t="s">
        <v>348</v>
      </c>
      <c r="C1328" s="29">
        <v>29</v>
      </c>
      <c r="D1328" s="29" t="s">
        <v>197</v>
      </c>
      <c r="E1328" s="29">
        <v>1659</v>
      </c>
      <c r="F1328" s="30">
        <v>0.39739999999999998</v>
      </c>
      <c r="G1328" s="30">
        <v>0.29709999999999998</v>
      </c>
      <c r="H1328" s="30">
        <v>0.30549999999999999</v>
      </c>
    </row>
    <row r="1329" spans="1:8" s="29" customFormat="1" x14ac:dyDescent="0.25">
      <c r="A1329" s="29" t="s">
        <v>198</v>
      </c>
      <c r="B1329" s="29" t="s">
        <v>349</v>
      </c>
      <c r="C1329" s="29">
        <v>4</v>
      </c>
      <c r="D1329" s="29" t="s">
        <v>197</v>
      </c>
      <c r="E1329" s="29">
        <v>1659</v>
      </c>
      <c r="G1329" s="30">
        <v>0.25</v>
      </c>
      <c r="H1329" s="30">
        <v>0.75</v>
      </c>
    </row>
    <row r="1330" spans="1:8" s="29" customFormat="1" x14ac:dyDescent="0.25">
      <c r="A1330" s="29" t="s">
        <v>198</v>
      </c>
      <c r="B1330" s="29" t="s">
        <v>348</v>
      </c>
      <c r="C1330" s="29">
        <v>16</v>
      </c>
      <c r="D1330" s="29" t="s">
        <v>199</v>
      </c>
      <c r="E1330" s="29">
        <v>1659</v>
      </c>
      <c r="H1330" s="30">
        <v>1</v>
      </c>
    </row>
    <row r="1331" spans="1:8" x14ac:dyDescent="0.25">
      <c r="A1331" t="s">
        <v>198</v>
      </c>
      <c r="B1331" t="s">
        <v>349</v>
      </c>
      <c r="C1331">
        <v>80</v>
      </c>
      <c r="D1331" t="s">
        <v>199</v>
      </c>
      <c r="E1331">
        <v>1659</v>
      </c>
      <c r="F1331" s="1">
        <v>0.30420000000000003</v>
      </c>
      <c r="G1331" s="1">
        <v>0.1012</v>
      </c>
      <c r="H1331" s="1">
        <v>0.59470000000000001</v>
      </c>
    </row>
    <row r="1332" spans="1:8" x14ac:dyDescent="0.25">
      <c r="A1332" t="s">
        <v>198</v>
      </c>
      <c r="B1332" t="s">
        <v>350</v>
      </c>
      <c r="C1332">
        <v>123</v>
      </c>
      <c r="D1332" t="s">
        <v>199</v>
      </c>
      <c r="E1332">
        <v>1659</v>
      </c>
      <c r="F1332" s="1">
        <v>1.0500000000000001E-2</v>
      </c>
      <c r="G1332" s="1">
        <v>4.5499999999999999E-2</v>
      </c>
      <c r="H1332" s="1">
        <v>0.94399999999999995</v>
      </c>
    </row>
    <row r="1333" spans="1:8" x14ac:dyDescent="0.25">
      <c r="A1333" t="s">
        <v>198</v>
      </c>
      <c r="B1333" t="s">
        <v>350</v>
      </c>
      <c r="C1333">
        <v>42</v>
      </c>
      <c r="D1333" t="s">
        <v>200</v>
      </c>
      <c r="E1333">
        <v>1659</v>
      </c>
      <c r="F1333" s="1">
        <v>0.40699999999999997</v>
      </c>
      <c r="G1333" s="1">
        <v>0.1099</v>
      </c>
      <c r="H1333" s="1">
        <v>0.48309999999999997</v>
      </c>
    </row>
    <row r="1334" spans="1:8" x14ac:dyDescent="0.25">
      <c r="A1334" t="s">
        <v>198</v>
      </c>
      <c r="B1334" t="s">
        <v>348</v>
      </c>
      <c r="C1334">
        <v>166</v>
      </c>
      <c r="D1334" t="s">
        <v>200</v>
      </c>
      <c r="E1334">
        <v>1659</v>
      </c>
      <c r="F1334" s="1">
        <v>0.27539999999999998</v>
      </c>
      <c r="G1334" s="1">
        <v>0.47710000000000002</v>
      </c>
      <c r="H1334" s="1">
        <v>0.2475</v>
      </c>
    </row>
    <row r="1335" spans="1:8" x14ac:dyDescent="0.25">
      <c r="A1335" t="s">
        <v>198</v>
      </c>
      <c r="B1335" t="s">
        <v>349</v>
      </c>
      <c r="C1335">
        <v>48</v>
      </c>
      <c r="D1335" t="s">
        <v>200</v>
      </c>
      <c r="E1335">
        <v>1659</v>
      </c>
      <c r="F1335" s="1">
        <v>0.44640000000000002</v>
      </c>
      <c r="G1335" s="1">
        <v>0.3538</v>
      </c>
      <c r="H1335" s="1">
        <v>0.19980000000000001</v>
      </c>
    </row>
    <row r="1336" spans="1:8" x14ac:dyDescent="0.25">
      <c r="A1336" t="s">
        <v>198</v>
      </c>
      <c r="B1336" t="s">
        <v>349</v>
      </c>
      <c r="C1336">
        <v>89</v>
      </c>
      <c r="D1336" t="s">
        <v>201</v>
      </c>
      <c r="E1336">
        <v>1659</v>
      </c>
      <c r="F1336" s="1">
        <v>0.2495</v>
      </c>
      <c r="G1336" s="1">
        <v>0.219</v>
      </c>
      <c r="H1336" s="1">
        <v>0.53149999999999997</v>
      </c>
    </row>
    <row r="1337" spans="1:8" x14ac:dyDescent="0.25">
      <c r="A1337" t="s">
        <v>198</v>
      </c>
      <c r="B1337" t="s">
        <v>350</v>
      </c>
      <c r="C1337">
        <v>42</v>
      </c>
      <c r="D1337" t="s">
        <v>201</v>
      </c>
      <c r="E1337">
        <v>1659</v>
      </c>
      <c r="F1337" s="1">
        <v>2.7699999999999999E-2</v>
      </c>
      <c r="G1337" s="1">
        <v>0.1037</v>
      </c>
      <c r="H1337" s="1">
        <v>0.86860000000000004</v>
      </c>
    </row>
    <row r="1338" spans="1:8" x14ac:dyDescent="0.25">
      <c r="A1338" t="s">
        <v>198</v>
      </c>
      <c r="B1338" t="s">
        <v>348</v>
      </c>
      <c r="C1338">
        <v>48</v>
      </c>
      <c r="D1338" t="s">
        <v>201</v>
      </c>
      <c r="E1338">
        <v>1659</v>
      </c>
      <c r="F1338" s="1">
        <v>0.23730000000000001</v>
      </c>
      <c r="G1338" s="1">
        <v>0.40060000000000001</v>
      </c>
      <c r="H1338" s="1">
        <v>0.36209999999999998</v>
      </c>
    </row>
    <row r="1339" spans="1:8" x14ac:dyDescent="0.25">
      <c r="A1339" t="s">
        <v>198</v>
      </c>
      <c r="B1339" t="s">
        <v>348</v>
      </c>
      <c r="C1339">
        <v>50</v>
      </c>
      <c r="D1339" t="s">
        <v>202</v>
      </c>
      <c r="E1339">
        <v>1659</v>
      </c>
      <c r="F1339" s="1">
        <v>0.18559999999999999</v>
      </c>
      <c r="G1339" s="1">
        <v>0.59760000000000002</v>
      </c>
      <c r="H1339" s="1">
        <v>0.21679999999999999</v>
      </c>
    </row>
    <row r="1340" spans="1:8" x14ac:dyDescent="0.25">
      <c r="A1340" t="s">
        <v>203</v>
      </c>
      <c r="B1340" t="s">
        <v>349</v>
      </c>
      <c r="C1340">
        <v>99</v>
      </c>
      <c r="D1340" t="s">
        <v>199</v>
      </c>
      <c r="E1340">
        <v>1659</v>
      </c>
      <c r="F1340" s="1">
        <v>0.4073</v>
      </c>
      <c r="G1340" s="1">
        <v>4.2000000000000003E-2</v>
      </c>
      <c r="H1340" s="1">
        <v>0.55069999999999997</v>
      </c>
    </row>
    <row r="1341" spans="1:8" s="29" customFormat="1" x14ac:dyDescent="0.25">
      <c r="A1341" s="29" t="s">
        <v>203</v>
      </c>
      <c r="B1341" s="29" t="s">
        <v>348</v>
      </c>
      <c r="C1341" s="29">
        <v>15</v>
      </c>
      <c r="D1341" s="29" t="s">
        <v>199</v>
      </c>
      <c r="E1341" s="29">
        <v>1659</v>
      </c>
      <c r="H1341" s="30">
        <v>1</v>
      </c>
    </row>
    <row r="1342" spans="1:8" x14ac:dyDescent="0.25">
      <c r="A1342" t="s">
        <v>203</v>
      </c>
      <c r="B1342" t="s">
        <v>350</v>
      </c>
      <c r="C1342">
        <v>208</v>
      </c>
      <c r="D1342" t="s">
        <v>199</v>
      </c>
      <c r="E1342">
        <v>1659</v>
      </c>
      <c r="F1342" s="1">
        <v>6.2399999999999997E-2</v>
      </c>
      <c r="G1342" s="1">
        <v>6.4500000000000002E-2</v>
      </c>
      <c r="H1342" s="1">
        <v>0.87319999999999998</v>
      </c>
    </row>
    <row r="1343" spans="1:8" x14ac:dyDescent="0.25">
      <c r="A1343" t="s">
        <v>203</v>
      </c>
      <c r="B1343" t="s">
        <v>348</v>
      </c>
      <c r="C1343">
        <v>178</v>
      </c>
      <c r="D1343" t="s">
        <v>200</v>
      </c>
      <c r="E1343">
        <v>1659</v>
      </c>
      <c r="F1343" s="1">
        <v>0.39479999999999998</v>
      </c>
      <c r="G1343" s="1">
        <v>0.54830000000000001</v>
      </c>
      <c r="H1343" s="1">
        <v>5.6800000000000003E-2</v>
      </c>
    </row>
    <row r="1344" spans="1:8" x14ac:dyDescent="0.25">
      <c r="A1344" t="s">
        <v>203</v>
      </c>
      <c r="B1344" t="s">
        <v>349</v>
      </c>
      <c r="C1344">
        <v>61</v>
      </c>
      <c r="D1344" t="s">
        <v>200</v>
      </c>
      <c r="E1344">
        <v>1659</v>
      </c>
      <c r="F1344" s="1">
        <v>0.45069999999999999</v>
      </c>
      <c r="G1344" s="1">
        <v>0.45650000000000002</v>
      </c>
      <c r="H1344" s="1">
        <v>9.2799999999999994E-2</v>
      </c>
    </row>
    <row r="1345" spans="1:18" x14ac:dyDescent="0.25">
      <c r="A1345" t="s">
        <v>203</v>
      </c>
      <c r="B1345" t="s">
        <v>350</v>
      </c>
      <c r="C1345">
        <v>68</v>
      </c>
      <c r="D1345" t="s">
        <v>200</v>
      </c>
      <c r="E1345">
        <v>1659</v>
      </c>
      <c r="F1345" s="1">
        <v>0.5887</v>
      </c>
      <c r="G1345" s="1">
        <v>0.18509999999999999</v>
      </c>
      <c r="H1345" s="1">
        <v>0.22620000000000001</v>
      </c>
    </row>
    <row r="1346" spans="1:18" x14ac:dyDescent="0.25">
      <c r="A1346" t="s">
        <v>203</v>
      </c>
      <c r="B1346" t="s">
        <v>348</v>
      </c>
      <c r="C1346">
        <v>44</v>
      </c>
      <c r="D1346" t="s">
        <v>201</v>
      </c>
      <c r="E1346">
        <v>1659</v>
      </c>
      <c r="F1346" s="1">
        <v>0.52810000000000001</v>
      </c>
      <c r="G1346" s="1">
        <v>0.30020000000000002</v>
      </c>
      <c r="H1346" s="1">
        <v>0.17180000000000001</v>
      </c>
    </row>
    <row r="1347" spans="1:18" x14ac:dyDescent="0.25">
      <c r="A1347" t="s">
        <v>203</v>
      </c>
      <c r="B1347" t="s">
        <v>349</v>
      </c>
      <c r="C1347">
        <v>95</v>
      </c>
      <c r="D1347" t="s">
        <v>201</v>
      </c>
      <c r="E1347">
        <v>1659</v>
      </c>
      <c r="F1347" s="1">
        <v>0.1817</v>
      </c>
      <c r="G1347" s="1">
        <v>0.16619999999999999</v>
      </c>
      <c r="H1347" s="1">
        <v>0.6522</v>
      </c>
    </row>
    <row r="1348" spans="1:18" x14ac:dyDescent="0.25">
      <c r="A1348" t="s">
        <v>203</v>
      </c>
      <c r="B1348" t="s">
        <v>350</v>
      </c>
      <c r="C1348">
        <v>58</v>
      </c>
      <c r="D1348" t="s">
        <v>201</v>
      </c>
      <c r="E1348">
        <v>1659</v>
      </c>
      <c r="F1348" s="1">
        <v>3.1E-2</v>
      </c>
      <c r="G1348" s="1">
        <v>4.1500000000000002E-2</v>
      </c>
      <c r="H1348" s="1">
        <v>0.92749999999999999</v>
      </c>
    </row>
    <row r="1349" spans="1:18" x14ac:dyDescent="0.25">
      <c r="A1349" t="s">
        <v>203</v>
      </c>
      <c r="B1349" t="s">
        <v>348</v>
      </c>
      <c r="C1349">
        <v>69</v>
      </c>
      <c r="D1349" t="s">
        <v>202</v>
      </c>
      <c r="E1349">
        <v>1659</v>
      </c>
      <c r="F1349" s="1">
        <v>6.1100000000000002E-2</v>
      </c>
      <c r="G1349" s="1">
        <v>0.90920000000000001</v>
      </c>
      <c r="H1349" s="1">
        <v>2.9700000000000001E-2</v>
      </c>
    </row>
    <row r="1350" spans="1:18" x14ac:dyDescent="0.25">
      <c r="A1350" t="s">
        <v>204</v>
      </c>
      <c r="B1350" t="s">
        <v>204</v>
      </c>
      <c r="C1350">
        <v>1659</v>
      </c>
      <c r="D1350" t="s">
        <v>204</v>
      </c>
      <c r="E1350">
        <v>1659</v>
      </c>
      <c r="F1350" s="1">
        <v>0.27389999999999998</v>
      </c>
      <c r="G1350" s="1">
        <v>0.39140000000000003</v>
      </c>
      <c r="H1350" s="1">
        <v>0.3347</v>
      </c>
    </row>
    <row r="1352" spans="1:18" x14ac:dyDescent="0.25">
      <c r="A1352" t="s">
        <v>423</v>
      </c>
    </row>
    <row r="1353" spans="1:18" x14ac:dyDescent="0.25">
      <c r="A1353" t="s">
        <v>190</v>
      </c>
      <c r="B1353" t="s">
        <v>195</v>
      </c>
      <c r="C1353" t="s">
        <v>189</v>
      </c>
      <c r="D1353" t="s">
        <v>196</v>
      </c>
      <c r="E1353" t="s">
        <v>424</v>
      </c>
      <c r="F1353" t="s">
        <v>425</v>
      </c>
      <c r="G1353" t="s">
        <v>426</v>
      </c>
      <c r="H1353" t="s">
        <v>427</v>
      </c>
      <c r="I1353" t="s">
        <v>428</v>
      </c>
      <c r="J1353" t="s">
        <v>429</v>
      </c>
      <c r="K1353" t="s">
        <v>430</v>
      </c>
      <c r="L1353" t="s">
        <v>431</v>
      </c>
      <c r="M1353" t="s">
        <v>432</v>
      </c>
      <c r="N1353" t="s">
        <v>433</v>
      </c>
      <c r="O1353" t="s">
        <v>434</v>
      </c>
      <c r="P1353" t="s">
        <v>435</v>
      </c>
      <c r="Q1353" t="s">
        <v>436</v>
      </c>
      <c r="R1353" t="s">
        <v>437</v>
      </c>
    </row>
    <row r="1354" spans="1:18" x14ac:dyDescent="0.25">
      <c r="A1354" t="s">
        <v>198</v>
      </c>
      <c r="B1354">
        <v>33</v>
      </c>
      <c r="C1354" t="s">
        <v>197</v>
      </c>
      <c r="D1354">
        <v>1656</v>
      </c>
      <c r="F1354" s="1">
        <v>2.6499999999999999E-2</v>
      </c>
      <c r="G1354" s="1">
        <v>0.05</v>
      </c>
      <c r="H1354" s="1">
        <v>0.10299999999999999</v>
      </c>
      <c r="I1354" s="1">
        <v>8.8999999999999996E-2</v>
      </c>
      <c r="J1354" s="1">
        <v>7.7600000000000002E-2</v>
      </c>
      <c r="K1354" s="1">
        <v>7.0999999999999994E-2</v>
      </c>
      <c r="L1354" s="1">
        <v>0.17860000000000001</v>
      </c>
      <c r="M1354" s="1">
        <v>5.96E-2</v>
      </c>
      <c r="N1354" s="1">
        <v>0.05</v>
      </c>
      <c r="O1354" s="1">
        <v>0.1341</v>
      </c>
      <c r="P1354" s="1">
        <v>5.0999999999999997E-2</v>
      </c>
      <c r="R1354" s="1">
        <v>0.1096</v>
      </c>
    </row>
    <row r="1355" spans="1:18" x14ac:dyDescent="0.25">
      <c r="A1355" t="s">
        <v>198</v>
      </c>
      <c r="B1355">
        <v>223</v>
      </c>
      <c r="C1355" t="s">
        <v>199</v>
      </c>
      <c r="D1355">
        <v>1656</v>
      </c>
      <c r="E1355" s="1">
        <v>4.8399999999999999E-2</v>
      </c>
      <c r="F1355" s="1">
        <v>1.9699999999999999E-2</v>
      </c>
      <c r="G1355" s="1">
        <v>9.35E-2</v>
      </c>
      <c r="H1355" s="1">
        <v>0.1236</v>
      </c>
      <c r="I1355" s="1">
        <v>5.4399999999999997E-2</v>
      </c>
      <c r="J1355" s="1">
        <v>4.3700000000000003E-2</v>
      </c>
      <c r="K1355" s="1">
        <v>0.1105</v>
      </c>
      <c r="L1355" s="1">
        <v>0.1132</v>
      </c>
      <c r="M1355" s="1">
        <v>6.0199999999999997E-2</v>
      </c>
      <c r="N1355" s="1">
        <v>0.1048</v>
      </c>
      <c r="O1355" s="1">
        <v>8.0199999999999994E-2</v>
      </c>
      <c r="P1355" s="1">
        <v>9.2399999999999996E-2</v>
      </c>
      <c r="Q1355" s="1">
        <v>3.5000000000000001E-3</v>
      </c>
      <c r="R1355" s="1">
        <v>5.1999999999999998E-2</v>
      </c>
    </row>
    <row r="1356" spans="1:18" x14ac:dyDescent="0.25">
      <c r="A1356" t="s">
        <v>198</v>
      </c>
      <c r="B1356">
        <v>259</v>
      </c>
      <c r="C1356" t="s">
        <v>200</v>
      </c>
      <c r="D1356">
        <v>1656</v>
      </c>
      <c r="E1356" s="1">
        <v>6.83E-2</v>
      </c>
      <c r="F1356" s="1">
        <v>3.9699999999999999E-2</v>
      </c>
      <c r="G1356" s="1">
        <v>5.3499999999999999E-2</v>
      </c>
      <c r="H1356" s="1">
        <v>8.6999999999999994E-2</v>
      </c>
      <c r="I1356" s="1">
        <v>7.4200000000000002E-2</v>
      </c>
      <c r="J1356" s="1">
        <v>7.6799999999999993E-2</v>
      </c>
      <c r="K1356" s="1">
        <v>8.6699999999999999E-2</v>
      </c>
      <c r="L1356" s="1">
        <v>0.13200000000000001</v>
      </c>
      <c r="M1356" s="1">
        <v>6.6400000000000001E-2</v>
      </c>
      <c r="N1356" s="1">
        <v>8.0699999999999994E-2</v>
      </c>
      <c r="O1356" s="1">
        <v>5.8400000000000001E-2</v>
      </c>
      <c r="P1356" s="1">
        <v>9.3299999999999994E-2</v>
      </c>
      <c r="Q1356" s="1">
        <v>3.1800000000000002E-2</v>
      </c>
      <c r="R1356" s="1">
        <v>5.1299999999999998E-2</v>
      </c>
    </row>
    <row r="1357" spans="1:18" x14ac:dyDescent="0.25">
      <c r="A1357" t="s">
        <v>198</v>
      </c>
      <c r="B1357">
        <v>187</v>
      </c>
      <c r="C1357" t="s">
        <v>201</v>
      </c>
      <c r="D1357">
        <v>1656</v>
      </c>
      <c r="E1357" s="1">
        <v>8.9399999999999993E-2</v>
      </c>
      <c r="F1357" s="1">
        <v>1.84E-2</v>
      </c>
      <c r="G1357" s="1">
        <v>6.1499999999999999E-2</v>
      </c>
      <c r="H1357" s="1">
        <v>0.1123</v>
      </c>
      <c r="I1357" s="1">
        <v>8.5599999999999996E-2</v>
      </c>
      <c r="J1357" s="1">
        <v>0.1031</v>
      </c>
      <c r="K1357" s="1">
        <v>6.9199999999999998E-2</v>
      </c>
      <c r="L1357" s="1">
        <v>4.3799999999999999E-2</v>
      </c>
      <c r="M1357" s="1">
        <v>5.33E-2</v>
      </c>
      <c r="N1357" s="1">
        <v>0.13159999999999999</v>
      </c>
      <c r="O1357" s="1">
        <v>8.3199999999999996E-2</v>
      </c>
      <c r="P1357" s="1">
        <v>6.9599999999999995E-2</v>
      </c>
      <c r="Q1357" s="1">
        <v>1.2500000000000001E-2</v>
      </c>
      <c r="R1357" s="1">
        <v>6.6600000000000006E-2</v>
      </c>
    </row>
    <row r="1358" spans="1:18" x14ac:dyDescent="0.25">
      <c r="A1358" t="s">
        <v>198</v>
      </c>
      <c r="B1358">
        <v>50</v>
      </c>
      <c r="C1358" t="s">
        <v>202</v>
      </c>
      <c r="D1358">
        <v>1656</v>
      </c>
      <c r="E1358" s="1">
        <v>5.2999999999999999E-2</v>
      </c>
      <c r="F1358" s="1">
        <v>2.8400000000000002E-2</v>
      </c>
      <c r="G1358" s="1">
        <v>0.1416</v>
      </c>
      <c r="H1358" s="1">
        <v>0.13289999999999999</v>
      </c>
      <c r="I1358" s="1">
        <v>4.3999999999999997E-2</v>
      </c>
      <c r="J1358" s="1">
        <v>0.1074</v>
      </c>
      <c r="K1358" s="1">
        <v>0.1234</v>
      </c>
      <c r="L1358" s="1">
        <v>0.12189999999999999</v>
      </c>
      <c r="M1358" s="1">
        <v>2.8400000000000002E-2</v>
      </c>
      <c r="N1358" s="1">
        <v>7.8100000000000003E-2</v>
      </c>
      <c r="O1358" s="1">
        <v>2.1999999999999999E-2</v>
      </c>
      <c r="P1358" s="1">
        <v>5.3499999999999999E-2</v>
      </c>
      <c r="R1358" s="1">
        <v>6.5500000000000003E-2</v>
      </c>
    </row>
    <row r="1359" spans="1:18" x14ac:dyDescent="0.25">
      <c r="A1359" t="s">
        <v>203</v>
      </c>
      <c r="B1359">
        <v>326</v>
      </c>
      <c r="C1359" t="s">
        <v>199</v>
      </c>
      <c r="D1359">
        <v>1656</v>
      </c>
      <c r="E1359" s="1">
        <v>4.4699999999999997E-2</v>
      </c>
      <c r="F1359" s="1">
        <v>2.1000000000000001E-2</v>
      </c>
      <c r="G1359" s="1">
        <v>7.7700000000000005E-2</v>
      </c>
      <c r="H1359" s="1">
        <v>4.9200000000000001E-2</v>
      </c>
      <c r="I1359" s="1">
        <v>6.6900000000000001E-2</v>
      </c>
      <c r="J1359" s="1">
        <v>6.2E-2</v>
      </c>
      <c r="K1359" s="1">
        <v>3.39E-2</v>
      </c>
      <c r="L1359" s="1">
        <v>7.0300000000000001E-2</v>
      </c>
      <c r="M1359" s="1">
        <v>6.5100000000000005E-2</v>
      </c>
      <c r="N1359" s="1">
        <v>0.1152</v>
      </c>
      <c r="O1359" s="1">
        <v>0.18459999999999999</v>
      </c>
      <c r="P1359" s="1">
        <v>0.1191</v>
      </c>
      <c r="Q1359" s="1">
        <v>3.4500000000000003E-2</v>
      </c>
      <c r="R1359" s="1">
        <v>5.5800000000000002E-2</v>
      </c>
    </row>
    <row r="1360" spans="1:18" x14ac:dyDescent="0.25">
      <c r="A1360" t="s">
        <v>203</v>
      </c>
      <c r="B1360">
        <v>307</v>
      </c>
      <c r="C1360" t="s">
        <v>200</v>
      </c>
      <c r="D1360">
        <v>1656</v>
      </c>
      <c r="E1360" s="1">
        <v>3.09E-2</v>
      </c>
      <c r="F1360" s="1">
        <v>5.04E-2</v>
      </c>
      <c r="G1360" s="1">
        <v>8.0100000000000005E-2</v>
      </c>
      <c r="H1360" s="1">
        <v>8.6699999999999999E-2</v>
      </c>
      <c r="I1360" s="1">
        <v>0.14000000000000001</v>
      </c>
      <c r="J1360" s="1">
        <v>9.0700000000000003E-2</v>
      </c>
      <c r="K1360" s="1">
        <v>0.11</v>
      </c>
      <c r="L1360" s="1">
        <v>7.85E-2</v>
      </c>
      <c r="M1360" s="1">
        <v>4.8800000000000003E-2</v>
      </c>
      <c r="N1360" s="1">
        <v>0.1177</v>
      </c>
      <c r="O1360" s="1">
        <v>3.0300000000000001E-2</v>
      </c>
      <c r="P1360" s="1">
        <v>5.7099999999999998E-2</v>
      </c>
      <c r="Q1360" s="1">
        <v>2.3599999999999999E-2</v>
      </c>
      <c r="R1360" s="1">
        <v>5.5300000000000002E-2</v>
      </c>
    </row>
    <row r="1361" spans="1:19" x14ac:dyDescent="0.25">
      <c r="A1361" t="s">
        <v>203</v>
      </c>
      <c r="B1361">
        <v>202</v>
      </c>
      <c r="C1361" t="s">
        <v>201</v>
      </c>
      <c r="D1361">
        <v>1656</v>
      </c>
      <c r="E1361" s="1">
        <v>1.7100000000000001E-2</v>
      </c>
      <c r="F1361" s="1">
        <v>3.7900000000000003E-2</v>
      </c>
      <c r="G1361" s="1">
        <v>5.9799999999999999E-2</v>
      </c>
      <c r="H1361" s="1">
        <v>7.0999999999999994E-2</v>
      </c>
      <c r="I1361" s="1">
        <v>4.7699999999999999E-2</v>
      </c>
      <c r="J1361" s="1">
        <v>5.5500000000000001E-2</v>
      </c>
      <c r="K1361" s="1">
        <v>0.13</v>
      </c>
      <c r="L1361" s="1">
        <v>0.14480000000000001</v>
      </c>
      <c r="M1361" s="1">
        <v>0.1099</v>
      </c>
      <c r="N1361" s="1">
        <v>7.0199999999999999E-2</v>
      </c>
      <c r="O1361" s="1">
        <v>3.5700000000000003E-2</v>
      </c>
      <c r="P1361" s="1">
        <v>0.1023</v>
      </c>
      <c r="Q1361" s="1">
        <v>6.3799999999999996E-2</v>
      </c>
      <c r="R1361" s="1">
        <v>5.4100000000000002E-2</v>
      </c>
    </row>
    <row r="1362" spans="1:19" x14ac:dyDescent="0.25">
      <c r="A1362" t="s">
        <v>203</v>
      </c>
      <c r="B1362">
        <v>69</v>
      </c>
      <c r="C1362" t="s">
        <v>202</v>
      </c>
      <c r="D1362">
        <v>1656</v>
      </c>
      <c r="E1362" s="1">
        <v>2.4299999999999999E-2</v>
      </c>
      <c r="F1362" s="1">
        <v>0.1008</v>
      </c>
      <c r="G1362" s="1">
        <v>0.11550000000000001</v>
      </c>
      <c r="H1362" s="1">
        <v>2.1100000000000001E-2</v>
      </c>
      <c r="I1362" s="1">
        <v>3.8600000000000002E-2</v>
      </c>
      <c r="J1362" s="1">
        <v>0.1676</v>
      </c>
      <c r="K1362" s="1">
        <v>0.15010000000000001</v>
      </c>
      <c r="L1362" s="1">
        <v>8.3500000000000005E-2</v>
      </c>
      <c r="M1362" s="1">
        <v>6.6900000000000001E-2</v>
      </c>
      <c r="N1362" s="1">
        <v>2.4299999999999999E-2</v>
      </c>
      <c r="O1362" s="1">
        <v>8.0100000000000005E-2</v>
      </c>
      <c r="P1362" s="1">
        <v>4.4400000000000002E-2</v>
      </c>
      <c r="Q1362" s="1">
        <v>1.8499999999999999E-2</v>
      </c>
      <c r="R1362" s="1">
        <v>6.4199999999999993E-2</v>
      </c>
    </row>
    <row r="1363" spans="1:19" x14ac:dyDescent="0.25">
      <c r="A1363" t="s">
        <v>204</v>
      </c>
      <c r="B1363">
        <v>1656</v>
      </c>
      <c r="C1363" t="s">
        <v>204</v>
      </c>
      <c r="D1363">
        <v>1656</v>
      </c>
      <c r="E1363" s="1">
        <v>4.3499999999999997E-2</v>
      </c>
      <c r="F1363" s="1">
        <v>3.9300000000000002E-2</v>
      </c>
      <c r="G1363" s="1">
        <v>8.0399999999999999E-2</v>
      </c>
      <c r="H1363" s="1">
        <v>8.7499999999999994E-2</v>
      </c>
      <c r="I1363" s="1">
        <v>8.7099999999999997E-2</v>
      </c>
      <c r="J1363" s="1">
        <v>8.48E-2</v>
      </c>
      <c r="K1363" s="1">
        <v>9.6699999999999994E-2</v>
      </c>
      <c r="L1363" s="1">
        <v>9.9599999999999994E-2</v>
      </c>
      <c r="M1363" s="1">
        <v>5.7799999999999997E-2</v>
      </c>
      <c r="N1363" s="1">
        <v>9.6299999999999997E-2</v>
      </c>
      <c r="O1363" s="1">
        <v>7.0000000000000007E-2</v>
      </c>
      <c r="P1363" s="1">
        <v>7.5600000000000001E-2</v>
      </c>
      <c r="Q1363" s="1">
        <v>2.1999999999999999E-2</v>
      </c>
      <c r="R1363" s="1">
        <v>5.9200000000000003E-2</v>
      </c>
    </row>
    <row r="1365" spans="1:19" x14ac:dyDescent="0.25">
      <c r="A1365" t="s">
        <v>438</v>
      </c>
    </row>
    <row r="1366" spans="1:19" x14ac:dyDescent="0.25">
      <c r="A1366" t="s">
        <v>190</v>
      </c>
      <c r="B1366" t="s">
        <v>195</v>
      </c>
      <c r="C1366" t="s">
        <v>189</v>
      </c>
      <c r="D1366" t="s">
        <v>196</v>
      </c>
      <c r="E1366" t="s">
        <v>439</v>
      </c>
      <c r="F1366" t="s">
        <v>440</v>
      </c>
      <c r="G1366" t="s">
        <v>220</v>
      </c>
      <c r="H1366" t="s">
        <v>441</v>
      </c>
      <c r="I1366" t="s">
        <v>442</v>
      </c>
      <c r="J1366" t="s">
        <v>443</v>
      </c>
      <c r="K1366" t="s">
        <v>235</v>
      </c>
      <c r="L1366" t="s">
        <v>444</v>
      </c>
      <c r="M1366" t="s">
        <v>445</v>
      </c>
      <c r="N1366" t="s">
        <v>446</v>
      </c>
      <c r="O1366" t="s">
        <v>447</v>
      </c>
      <c r="P1366" t="s">
        <v>448</v>
      </c>
      <c r="Q1366" t="s">
        <v>449</v>
      </c>
      <c r="R1366" t="s">
        <v>450</v>
      </c>
      <c r="S1366" t="s">
        <v>451</v>
      </c>
    </row>
    <row r="1367" spans="1:19" s="29" customFormat="1" x14ac:dyDescent="0.25">
      <c r="A1367" s="29" t="s">
        <v>198</v>
      </c>
      <c r="B1367" s="29">
        <v>3</v>
      </c>
      <c r="C1367" s="29" t="s">
        <v>197</v>
      </c>
      <c r="D1367" s="29">
        <v>115</v>
      </c>
      <c r="H1367" s="30">
        <v>0.30809999999999998</v>
      </c>
      <c r="J1367" s="30">
        <v>0.30809999999999998</v>
      </c>
      <c r="O1367" s="30">
        <v>0.38390000000000002</v>
      </c>
    </row>
    <row r="1368" spans="1:19" s="29" customFormat="1" x14ac:dyDescent="0.25">
      <c r="A1368" s="29" t="s">
        <v>198</v>
      </c>
      <c r="B1368" s="29">
        <v>22</v>
      </c>
      <c r="C1368" s="29" t="s">
        <v>199</v>
      </c>
      <c r="D1368" s="29">
        <v>115</v>
      </c>
      <c r="H1368" s="30">
        <v>0.46489999999999998</v>
      </c>
      <c r="J1368" s="30">
        <v>0.41699999999999998</v>
      </c>
      <c r="K1368" s="30">
        <v>4.3900000000000002E-2</v>
      </c>
      <c r="M1368" s="30">
        <v>0.3664</v>
      </c>
      <c r="N1368" s="30">
        <v>0.2954</v>
      </c>
      <c r="O1368" s="30">
        <v>0.12479999999999999</v>
      </c>
    </row>
    <row r="1369" spans="1:19" s="29" customFormat="1" x14ac:dyDescent="0.25">
      <c r="A1369" s="29" t="s">
        <v>198</v>
      </c>
      <c r="B1369" s="29">
        <v>14</v>
      </c>
      <c r="C1369" s="29" t="s">
        <v>200</v>
      </c>
      <c r="D1369" s="29">
        <v>115</v>
      </c>
      <c r="H1369" s="30">
        <v>0.3846</v>
      </c>
      <c r="J1369" s="30">
        <v>0.24510000000000001</v>
      </c>
      <c r="M1369" s="30">
        <v>0.16339999999999999</v>
      </c>
      <c r="N1369" s="30">
        <v>0.22020000000000001</v>
      </c>
      <c r="O1369" s="30">
        <v>6.2300000000000001E-2</v>
      </c>
      <c r="R1369" s="30">
        <v>0.25109999999999999</v>
      </c>
      <c r="S1369" s="30">
        <v>6.2300000000000001E-2</v>
      </c>
    </row>
    <row r="1370" spans="1:19" s="29" customFormat="1" x14ac:dyDescent="0.25">
      <c r="A1370" s="29" t="s">
        <v>198</v>
      </c>
      <c r="B1370" s="29">
        <v>10</v>
      </c>
      <c r="C1370" s="29" t="s">
        <v>201</v>
      </c>
      <c r="D1370" s="29">
        <v>115</v>
      </c>
      <c r="I1370" s="30">
        <v>1.9400000000000001E-2</v>
      </c>
      <c r="J1370" s="30">
        <v>1.9400000000000001E-2</v>
      </c>
      <c r="N1370" s="30">
        <v>0.7218</v>
      </c>
      <c r="O1370" s="30">
        <v>0.23930000000000001</v>
      </c>
      <c r="S1370" s="30">
        <v>1.9400000000000001E-2</v>
      </c>
    </row>
    <row r="1371" spans="1:19" s="29" customFormat="1" x14ac:dyDescent="0.25">
      <c r="A1371" s="29" t="s">
        <v>198</v>
      </c>
      <c r="B1371" s="29">
        <v>4</v>
      </c>
      <c r="C1371" s="29" t="s">
        <v>202</v>
      </c>
      <c r="D1371" s="29">
        <v>115</v>
      </c>
      <c r="L1371" s="30">
        <v>0.16239999999999999</v>
      </c>
      <c r="N1371" s="30">
        <v>0.32490000000000002</v>
      </c>
      <c r="R1371" s="30">
        <v>0.51270000000000004</v>
      </c>
    </row>
    <row r="1372" spans="1:19" x14ac:dyDescent="0.25">
      <c r="A1372" t="s">
        <v>203</v>
      </c>
      <c r="B1372">
        <v>32</v>
      </c>
      <c r="C1372" t="s">
        <v>199</v>
      </c>
      <c r="D1372">
        <v>115</v>
      </c>
      <c r="E1372" s="1">
        <v>0.1794</v>
      </c>
      <c r="G1372" s="1">
        <v>3.4000000000000002E-2</v>
      </c>
      <c r="H1372" s="1">
        <v>0.14149999999999999</v>
      </c>
      <c r="J1372" s="1">
        <v>7.6200000000000004E-2</v>
      </c>
      <c r="M1372" s="1">
        <v>0.14610000000000001</v>
      </c>
      <c r="N1372" s="1">
        <v>0.14219999999999999</v>
      </c>
      <c r="O1372" s="1">
        <v>0.1004</v>
      </c>
      <c r="P1372" s="1">
        <v>0.19089999999999999</v>
      </c>
      <c r="Q1372" s="1">
        <v>1.15E-2</v>
      </c>
    </row>
    <row r="1373" spans="1:19" s="29" customFormat="1" x14ac:dyDescent="0.25">
      <c r="A1373" s="29" t="s">
        <v>203</v>
      </c>
      <c r="B1373" s="29">
        <v>12</v>
      </c>
      <c r="C1373" s="29" t="s">
        <v>200</v>
      </c>
      <c r="D1373" s="29">
        <v>115</v>
      </c>
      <c r="E1373" s="30">
        <v>7.7700000000000005E-2</v>
      </c>
      <c r="G1373" s="30">
        <v>4.1099999999999998E-2</v>
      </c>
      <c r="H1373" s="30">
        <v>0.2581</v>
      </c>
      <c r="J1373" s="30">
        <v>5.5999999999999999E-3</v>
      </c>
      <c r="M1373" s="30">
        <v>8.2400000000000001E-2</v>
      </c>
      <c r="N1373" s="30">
        <v>0.38529999999999998</v>
      </c>
      <c r="S1373" s="30">
        <v>0.27100000000000002</v>
      </c>
    </row>
    <row r="1374" spans="1:19" s="29" customFormat="1" x14ac:dyDescent="0.25">
      <c r="A1374" s="29" t="s">
        <v>203</v>
      </c>
      <c r="B1374" s="29">
        <v>15</v>
      </c>
      <c r="C1374" s="29" t="s">
        <v>201</v>
      </c>
      <c r="D1374" s="29">
        <v>115</v>
      </c>
      <c r="G1374" s="30">
        <v>0.1033</v>
      </c>
      <c r="H1374" s="30">
        <v>0.1239</v>
      </c>
      <c r="J1374" s="30">
        <v>3.2899999999999999E-2</v>
      </c>
      <c r="N1374" s="30">
        <v>0.13469999999999999</v>
      </c>
      <c r="O1374" s="30">
        <v>0.5716</v>
      </c>
      <c r="Q1374" s="30">
        <v>3.3599999999999998E-2</v>
      </c>
    </row>
    <row r="1375" spans="1:19" s="29" customFormat="1" x14ac:dyDescent="0.25">
      <c r="A1375" s="29" t="s">
        <v>203</v>
      </c>
      <c r="B1375" s="29">
        <v>3</v>
      </c>
      <c r="C1375" s="29" t="s">
        <v>202</v>
      </c>
      <c r="D1375" s="29">
        <v>115</v>
      </c>
      <c r="E1375" s="30">
        <v>0.3987</v>
      </c>
      <c r="F1375" s="30">
        <v>0.3987</v>
      </c>
      <c r="N1375" s="30">
        <v>0.60129999999999995</v>
      </c>
    </row>
    <row r="1376" spans="1:19" x14ac:dyDescent="0.25">
      <c r="A1376" t="s">
        <v>204</v>
      </c>
      <c r="B1376">
        <v>115</v>
      </c>
      <c r="C1376" t="s">
        <v>204</v>
      </c>
      <c r="D1376">
        <v>115</v>
      </c>
      <c r="E1376" s="1">
        <v>6.2300000000000001E-2</v>
      </c>
      <c r="F1376" s="1">
        <v>9.2999999999999992E-3</v>
      </c>
      <c r="G1376" s="1">
        <v>2.2599999999999999E-2</v>
      </c>
      <c r="H1376" s="1">
        <v>0.25729999999999997</v>
      </c>
      <c r="I1376" s="1">
        <v>5.0000000000000001E-4</v>
      </c>
      <c r="J1376" s="1">
        <v>0.16880000000000001</v>
      </c>
      <c r="K1376" s="1">
        <v>9.2999999999999992E-3</v>
      </c>
      <c r="L1376" s="1">
        <v>8.9999999999999993E-3</v>
      </c>
      <c r="M1376" s="1">
        <v>0.14510000000000001</v>
      </c>
      <c r="N1376" s="1">
        <v>0.24579999999999999</v>
      </c>
      <c r="O1376" s="1">
        <v>0.1452</v>
      </c>
      <c r="P1376" s="1">
        <v>4.3900000000000002E-2</v>
      </c>
      <c r="Q1376" s="1">
        <v>5.4000000000000003E-3</v>
      </c>
      <c r="R1376" s="1">
        <v>6.08E-2</v>
      </c>
      <c r="S1376" s="1">
        <v>4.9700000000000001E-2</v>
      </c>
    </row>
    <row r="1378" spans="1:9" x14ac:dyDescent="0.25">
      <c r="A1378" t="s">
        <v>452</v>
      </c>
    </row>
    <row r="1379" spans="1:9" x14ac:dyDescent="0.25">
      <c r="A1379" t="s">
        <v>190</v>
      </c>
      <c r="B1379" t="s">
        <v>195</v>
      </c>
      <c r="C1379" t="s">
        <v>189</v>
      </c>
      <c r="D1379" t="s">
        <v>196</v>
      </c>
      <c r="E1379" t="s">
        <v>220</v>
      </c>
      <c r="F1379" t="s">
        <v>207</v>
      </c>
      <c r="G1379" t="s">
        <v>215</v>
      </c>
      <c r="H1379" t="s">
        <v>208</v>
      </c>
    </row>
    <row r="1380" spans="1:9" s="29" customFormat="1" x14ac:dyDescent="0.25">
      <c r="A1380" s="29" t="s">
        <v>198</v>
      </c>
      <c r="B1380" s="29">
        <v>28</v>
      </c>
      <c r="C1380" s="29" t="s">
        <v>197</v>
      </c>
      <c r="D1380" s="29">
        <v>1174</v>
      </c>
      <c r="F1380" s="30">
        <v>0.64349999999999996</v>
      </c>
      <c r="H1380" s="30">
        <v>0.35649999999999998</v>
      </c>
    </row>
    <row r="1381" spans="1:9" x14ac:dyDescent="0.25">
      <c r="A1381" t="s">
        <v>198</v>
      </c>
      <c r="B1381">
        <v>160</v>
      </c>
      <c r="C1381" t="s">
        <v>199</v>
      </c>
      <c r="D1381">
        <v>1174</v>
      </c>
      <c r="F1381" s="1">
        <v>0.76219999999999999</v>
      </c>
      <c r="H1381" s="1">
        <v>0.23780000000000001</v>
      </c>
    </row>
    <row r="1382" spans="1:9" x14ac:dyDescent="0.25">
      <c r="A1382" t="s">
        <v>198</v>
      </c>
      <c r="B1382">
        <v>186</v>
      </c>
      <c r="C1382" t="s">
        <v>200</v>
      </c>
      <c r="D1382">
        <v>1174</v>
      </c>
      <c r="E1382" s="1">
        <v>8.8999999999999999E-3</v>
      </c>
      <c r="F1382" s="1">
        <v>0.69359999999999999</v>
      </c>
      <c r="H1382" s="1">
        <v>0.29749999999999999</v>
      </c>
    </row>
    <row r="1383" spans="1:9" x14ac:dyDescent="0.25">
      <c r="A1383" t="s">
        <v>198</v>
      </c>
      <c r="B1383">
        <v>128</v>
      </c>
      <c r="C1383" t="s">
        <v>201</v>
      </c>
      <c r="D1383">
        <v>1174</v>
      </c>
      <c r="F1383" s="1">
        <v>0.81200000000000006</v>
      </c>
      <c r="G1383" s="1">
        <v>3.0000000000000001E-3</v>
      </c>
      <c r="H1383" s="1">
        <v>0.185</v>
      </c>
    </row>
    <row r="1384" spans="1:9" x14ac:dyDescent="0.25">
      <c r="A1384" t="s">
        <v>198</v>
      </c>
      <c r="B1384">
        <v>33</v>
      </c>
      <c r="C1384" t="s">
        <v>202</v>
      </c>
      <c r="D1384">
        <v>1174</v>
      </c>
      <c r="F1384" s="1">
        <v>0.81640000000000001</v>
      </c>
      <c r="H1384" s="1">
        <v>0.18360000000000001</v>
      </c>
    </row>
    <row r="1385" spans="1:9" x14ac:dyDescent="0.25">
      <c r="A1385" t="s">
        <v>203</v>
      </c>
      <c r="B1385">
        <v>237</v>
      </c>
      <c r="C1385" t="s">
        <v>199</v>
      </c>
      <c r="D1385">
        <v>1174</v>
      </c>
      <c r="F1385" s="1">
        <v>0.76980000000000004</v>
      </c>
      <c r="H1385" s="1">
        <v>0.23019999999999999</v>
      </c>
    </row>
    <row r="1386" spans="1:9" x14ac:dyDescent="0.25">
      <c r="A1386" t="s">
        <v>203</v>
      </c>
      <c r="B1386">
        <v>219</v>
      </c>
      <c r="C1386" t="s">
        <v>200</v>
      </c>
      <c r="D1386">
        <v>1174</v>
      </c>
      <c r="F1386" s="1">
        <v>0.75849999999999995</v>
      </c>
      <c r="H1386" s="1">
        <v>0.24149999999999999</v>
      </c>
    </row>
    <row r="1387" spans="1:9" x14ac:dyDescent="0.25">
      <c r="A1387" t="s">
        <v>203</v>
      </c>
      <c r="B1387">
        <v>138</v>
      </c>
      <c r="C1387" t="s">
        <v>201</v>
      </c>
      <c r="D1387">
        <v>1174</v>
      </c>
      <c r="F1387" s="1">
        <v>0.79490000000000005</v>
      </c>
      <c r="H1387" s="1">
        <v>0.2051</v>
      </c>
    </row>
    <row r="1388" spans="1:9" x14ac:dyDescent="0.25">
      <c r="A1388" t="s">
        <v>203</v>
      </c>
      <c r="B1388">
        <v>45</v>
      </c>
      <c r="C1388" t="s">
        <v>202</v>
      </c>
      <c r="D1388">
        <v>1174</v>
      </c>
      <c r="F1388" s="1">
        <v>0.74380000000000002</v>
      </c>
      <c r="H1388" s="1">
        <v>0.25619999999999998</v>
      </c>
    </row>
    <row r="1389" spans="1:9" x14ac:dyDescent="0.25">
      <c r="A1389" t="s">
        <v>204</v>
      </c>
      <c r="B1389">
        <v>1174</v>
      </c>
      <c r="C1389" t="s">
        <v>204</v>
      </c>
      <c r="D1389">
        <v>1174</v>
      </c>
      <c r="E1389" s="1">
        <v>1.4E-3</v>
      </c>
      <c r="F1389" s="1">
        <v>0.75270000000000004</v>
      </c>
      <c r="G1389" s="1">
        <v>2.0000000000000001E-4</v>
      </c>
      <c r="H1389" s="1">
        <v>0.24560000000000001</v>
      </c>
    </row>
    <row r="1391" spans="1:9" x14ac:dyDescent="0.25">
      <c r="A1391" t="s">
        <v>453</v>
      </c>
    </row>
    <row r="1392" spans="1:9" x14ac:dyDescent="0.25">
      <c r="A1392" t="s">
        <v>190</v>
      </c>
      <c r="B1392" t="s">
        <v>206</v>
      </c>
      <c r="C1392" t="s">
        <v>195</v>
      </c>
      <c r="D1392" t="s">
        <v>189</v>
      </c>
      <c r="E1392" t="s">
        <v>196</v>
      </c>
      <c r="F1392" t="s">
        <v>220</v>
      </c>
      <c r="G1392" t="s">
        <v>207</v>
      </c>
      <c r="H1392" t="s">
        <v>215</v>
      </c>
      <c r="I1392" t="s">
        <v>208</v>
      </c>
    </row>
    <row r="1393" spans="1:9" s="29" customFormat="1" x14ac:dyDescent="0.25">
      <c r="A1393" s="29" t="s">
        <v>198</v>
      </c>
      <c r="B1393" s="29" t="s">
        <v>228</v>
      </c>
      <c r="C1393" s="29">
        <v>12</v>
      </c>
      <c r="D1393" s="29" t="s">
        <v>197</v>
      </c>
      <c r="E1393" s="29">
        <v>1174</v>
      </c>
      <c r="G1393" s="30">
        <v>0.50900000000000001</v>
      </c>
      <c r="I1393" s="30">
        <v>0.49099999999999999</v>
      </c>
    </row>
    <row r="1394" spans="1:9" s="29" customFormat="1" x14ac:dyDescent="0.25">
      <c r="A1394" s="29" t="s">
        <v>198</v>
      </c>
      <c r="B1394" s="29" t="s">
        <v>229</v>
      </c>
      <c r="C1394" s="29">
        <v>16</v>
      </c>
      <c r="D1394" s="29" t="s">
        <v>197</v>
      </c>
      <c r="E1394" s="29">
        <v>1174</v>
      </c>
      <c r="G1394" s="30">
        <v>0.73580000000000001</v>
      </c>
      <c r="I1394" s="30">
        <v>0.26419999999999999</v>
      </c>
    </row>
    <row r="1395" spans="1:9" x14ac:dyDescent="0.25">
      <c r="A1395" t="s">
        <v>198</v>
      </c>
      <c r="B1395" t="s">
        <v>228</v>
      </c>
      <c r="C1395">
        <v>79</v>
      </c>
      <c r="D1395" t="s">
        <v>199</v>
      </c>
      <c r="E1395">
        <v>1174</v>
      </c>
      <c r="G1395" s="1">
        <v>0.56459999999999999</v>
      </c>
      <c r="I1395" s="1">
        <v>0.43540000000000001</v>
      </c>
    </row>
    <row r="1396" spans="1:9" x14ac:dyDescent="0.25">
      <c r="A1396" t="s">
        <v>198</v>
      </c>
      <c r="B1396" t="s">
        <v>229</v>
      </c>
      <c r="C1396">
        <v>78</v>
      </c>
      <c r="D1396" t="s">
        <v>199</v>
      </c>
      <c r="E1396">
        <v>1174</v>
      </c>
      <c r="G1396" s="1">
        <v>0.872</v>
      </c>
      <c r="I1396" s="1">
        <v>0.128</v>
      </c>
    </row>
    <row r="1397" spans="1:9" x14ac:dyDescent="0.25">
      <c r="A1397" t="s">
        <v>198</v>
      </c>
      <c r="B1397" t="s">
        <v>229</v>
      </c>
      <c r="C1397">
        <v>141</v>
      </c>
      <c r="D1397" t="s">
        <v>200</v>
      </c>
      <c r="E1397">
        <v>1174</v>
      </c>
      <c r="F1397" s="1">
        <v>1.0800000000000001E-2</v>
      </c>
      <c r="G1397" s="1">
        <v>0.70350000000000001</v>
      </c>
      <c r="I1397" s="1">
        <v>0.28570000000000001</v>
      </c>
    </row>
    <row r="1398" spans="1:9" x14ac:dyDescent="0.25">
      <c r="A1398" t="s">
        <v>198</v>
      </c>
      <c r="B1398" t="s">
        <v>228</v>
      </c>
      <c r="C1398">
        <v>42</v>
      </c>
      <c r="D1398" t="s">
        <v>200</v>
      </c>
      <c r="E1398">
        <v>1174</v>
      </c>
      <c r="G1398" s="1">
        <v>0.6643</v>
      </c>
      <c r="I1398" s="1">
        <v>0.3357</v>
      </c>
    </row>
    <row r="1399" spans="1:9" x14ac:dyDescent="0.25">
      <c r="A1399" t="s">
        <v>198</v>
      </c>
      <c r="B1399" t="s">
        <v>228</v>
      </c>
      <c r="C1399">
        <v>47</v>
      </c>
      <c r="D1399" t="s">
        <v>201</v>
      </c>
      <c r="E1399">
        <v>1174</v>
      </c>
      <c r="G1399" s="1">
        <v>0.69510000000000005</v>
      </c>
      <c r="I1399" s="1">
        <v>0.3049</v>
      </c>
    </row>
    <row r="1400" spans="1:9" x14ac:dyDescent="0.25">
      <c r="A1400" t="s">
        <v>198</v>
      </c>
      <c r="B1400" t="s">
        <v>229</v>
      </c>
      <c r="C1400">
        <v>76</v>
      </c>
      <c r="D1400" t="s">
        <v>201</v>
      </c>
      <c r="E1400">
        <v>1174</v>
      </c>
      <c r="G1400" s="1">
        <v>0.83940000000000003</v>
      </c>
      <c r="H1400" s="1">
        <v>3.8999999999999998E-3</v>
      </c>
      <c r="I1400" s="1">
        <v>0.15679999999999999</v>
      </c>
    </row>
    <row r="1401" spans="1:9" s="29" customFormat="1" x14ac:dyDescent="0.25">
      <c r="A1401" s="29" t="s">
        <v>198</v>
      </c>
      <c r="B1401" s="29" t="s">
        <v>229</v>
      </c>
      <c r="C1401" s="29">
        <v>19</v>
      </c>
      <c r="D1401" s="29" t="s">
        <v>202</v>
      </c>
      <c r="E1401" s="29">
        <v>1174</v>
      </c>
      <c r="G1401" s="30">
        <v>0.8054</v>
      </c>
      <c r="I1401" s="30">
        <v>0.1946</v>
      </c>
    </row>
    <row r="1402" spans="1:9" s="29" customFormat="1" x14ac:dyDescent="0.25">
      <c r="A1402" s="29" t="s">
        <v>198</v>
      </c>
      <c r="B1402" s="29" t="s">
        <v>228</v>
      </c>
      <c r="C1402" s="29">
        <v>14</v>
      </c>
      <c r="D1402" s="29" t="s">
        <v>202</v>
      </c>
      <c r="E1402" s="29">
        <v>1174</v>
      </c>
      <c r="G1402" s="30">
        <v>0.84509999999999996</v>
      </c>
      <c r="I1402" s="30">
        <v>0.15490000000000001</v>
      </c>
    </row>
    <row r="1403" spans="1:9" x14ac:dyDescent="0.25">
      <c r="A1403" t="s">
        <v>203</v>
      </c>
      <c r="B1403" t="s">
        <v>228</v>
      </c>
      <c r="C1403">
        <v>83</v>
      </c>
      <c r="D1403" t="s">
        <v>199</v>
      </c>
      <c r="E1403">
        <v>1174</v>
      </c>
      <c r="G1403" s="1">
        <v>0.8458</v>
      </c>
      <c r="I1403" s="1">
        <v>0.1542</v>
      </c>
    </row>
    <row r="1404" spans="1:9" x14ac:dyDescent="0.25">
      <c r="A1404" t="s">
        <v>203</v>
      </c>
      <c r="B1404" t="s">
        <v>229</v>
      </c>
      <c r="C1404">
        <v>151</v>
      </c>
      <c r="D1404" t="s">
        <v>199</v>
      </c>
      <c r="E1404">
        <v>1174</v>
      </c>
      <c r="G1404" s="1">
        <v>0.76070000000000004</v>
      </c>
      <c r="I1404" s="1">
        <v>0.23930000000000001</v>
      </c>
    </row>
    <row r="1405" spans="1:9" x14ac:dyDescent="0.25">
      <c r="A1405" t="s">
        <v>203</v>
      </c>
      <c r="B1405" t="s">
        <v>229</v>
      </c>
      <c r="C1405">
        <v>150</v>
      </c>
      <c r="D1405" t="s">
        <v>200</v>
      </c>
      <c r="E1405">
        <v>1174</v>
      </c>
      <c r="G1405" s="1">
        <v>0.78859999999999997</v>
      </c>
      <c r="I1405" s="1">
        <v>0.2114</v>
      </c>
    </row>
    <row r="1406" spans="1:9" x14ac:dyDescent="0.25">
      <c r="A1406" t="s">
        <v>203</v>
      </c>
      <c r="B1406" t="s">
        <v>228</v>
      </c>
      <c r="C1406">
        <v>68</v>
      </c>
      <c r="D1406" t="s">
        <v>200</v>
      </c>
      <c r="E1406">
        <v>1174</v>
      </c>
      <c r="G1406" s="1">
        <v>0.64859999999999995</v>
      </c>
      <c r="I1406" s="1">
        <v>0.35139999999999999</v>
      </c>
    </row>
    <row r="1407" spans="1:9" x14ac:dyDescent="0.25">
      <c r="A1407" t="s">
        <v>203</v>
      </c>
      <c r="B1407" t="s">
        <v>228</v>
      </c>
      <c r="C1407">
        <v>72</v>
      </c>
      <c r="D1407" t="s">
        <v>201</v>
      </c>
      <c r="E1407">
        <v>1174</v>
      </c>
      <c r="G1407" s="1">
        <v>0.74470000000000003</v>
      </c>
      <c r="I1407" s="1">
        <v>0.25530000000000003</v>
      </c>
    </row>
    <row r="1408" spans="1:9" x14ac:dyDescent="0.25">
      <c r="A1408" t="s">
        <v>203</v>
      </c>
      <c r="B1408" t="s">
        <v>229</v>
      </c>
      <c r="C1408">
        <v>62</v>
      </c>
      <c r="D1408" t="s">
        <v>201</v>
      </c>
      <c r="E1408">
        <v>1174</v>
      </c>
      <c r="G1408" s="1">
        <v>0.80940000000000001</v>
      </c>
      <c r="I1408" s="1">
        <v>0.19059999999999999</v>
      </c>
    </row>
    <row r="1409" spans="1:9" s="29" customFormat="1" x14ac:dyDescent="0.25">
      <c r="A1409" s="29" t="s">
        <v>203</v>
      </c>
      <c r="B1409" s="29" t="s">
        <v>228</v>
      </c>
      <c r="C1409" s="29">
        <v>24</v>
      </c>
      <c r="D1409" s="29" t="s">
        <v>202</v>
      </c>
      <c r="E1409" s="29">
        <v>1174</v>
      </c>
      <c r="G1409" s="30">
        <v>0.89500000000000002</v>
      </c>
      <c r="I1409" s="30">
        <v>0.105</v>
      </c>
    </row>
    <row r="1410" spans="1:9" s="29" customFormat="1" x14ac:dyDescent="0.25">
      <c r="A1410" s="29" t="s">
        <v>203</v>
      </c>
      <c r="B1410" s="29" t="s">
        <v>229</v>
      </c>
      <c r="C1410" s="29">
        <v>21</v>
      </c>
      <c r="D1410" s="29" t="s">
        <v>202</v>
      </c>
      <c r="E1410" s="29">
        <v>1174</v>
      </c>
      <c r="G1410" s="30">
        <v>0.6482</v>
      </c>
      <c r="I1410" s="30">
        <v>0.3518</v>
      </c>
    </row>
    <row r="1411" spans="1:9" x14ac:dyDescent="0.25">
      <c r="A1411" t="s">
        <v>204</v>
      </c>
      <c r="B1411" t="s">
        <v>204</v>
      </c>
      <c r="C1411">
        <v>1174</v>
      </c>
      <c r="D1411" t="s">
        <v>204</v>
      </c>
      <c r="E1411">
        <v>1174</v>
      </c>
      <c r="F1411" s="1">
        <v>1.4E-3</v>
      </c>
      <c r="G1411" s="1">
        <v>0.75270000000000004</v>
      </c>
      <c r="H1411" s="1">
        <v>2.0000000000000001E-4</v>
      </c>
      <c r="I1411" s="1">
        <v>0.24560000000000001</v>
      </c>
    </row>
    <row r="1413" spans="1:9" x14ac:dyDescent="0.25">
      <c r="A1413" t="s">
        <v>454</v>
      </c>
    </row>
    <row r="1414" spans="1:9" x14ac:dyDescent="0.25">
      <c r="A1414" t="s">
        <v>190</v>
      </c>
      <c r="B1414" t="s">
        <v>206</v>
      </c>
      <c r="C1414" t="s">
        <v>195</v>
      </c>
      <c r="D1414" t="s">
        <v>189</v>
      </c>
      <c r="E1414" t="s">
        <v>196</v>
      </c>
      <c r="F1414" t="s">
        <v>220</v>
      </c>
      <c r="G1414" t="s">
        <v>207</v>
      </c>
      <c r="H1414" t="s">
        <v>215</v>
      </c>
      <c r="I1414" t="s">
        <v>208</v>
      </c>
    </row>
    <row r="1415" spans="1:9" s="29" customFormat="1" x14ac:dyDescent="0.25">
      <c r="A1415" s="29" t="s">
        <v>198</v>
      </c>
      <c r="B1415" s="29" t="s">
        <v>348</v>
      </c>
      <c r="C1415" s="29">
        <v>26</v>
      </c>
      <c r="D1415" s="29" t="s">
        <v>197</v>
      </c>
      <c r="E1415" s="29">
        <v>1174</v>
      </c>
      <c r="G1415" s="30">
        <v>0.65349999999999997</v>
      </c>
      <c r="I1415" s="30">
        <v>0.34649999999999997</v>
      </c>
    </row>
    <row r="1416" spans="1:9" s="29" customFormat="1" x14ac:dyDescent="0.25">
      <c r="A1416" s="29" t="s">
        <v>198</v>
      </c>
      <c r="B1416" s="29" t="s">
        <v>349</v>
      </c>
      <c r="C1416" s="29">
        <v>2</v>
      </c>
      <c r="D1416" s="29" t="s">
        <v>197</v>
      </c>
      <c r="E1416" s="29">
        <v>1174</v>
      </c>
      <c r="G1416" s="30">
        <v>0.5</v>
      </c>
      <c r="I1416" s="30">
        <v>0.5</v>
      </c>
    </row>
    <row r="1417" spans="1:9" s="29" customFormat="1" x14ac:dyDescent="0.25">
      <c r="A1417" s="29" t="s">
        <v>198</v>
      </c>
      <c r="B1417" s="29" t="s">
        <v>348</v>
      </c>
      <c r="C1417" s="29">
        <v>14</v>
      </c>
      <c r="D1417" s="29" t="s">
        <v>199</v>
      </c>
      <c r="E1417" s="29">
        <v>1174</v>
      </c>
      <c r="G1417" s="30">
        <v>0.90849999999999997</v>
      </c>
      <c r="I1417" s="30">
        <v>9.1499999999999998E-2</v>
      </c>
    </row>
    <row r="1418" spans="1:9" x14ac:dyDescent="0.25">
      <c r="A1418" t="s">
        <v>198</v>
      </c>
      <c r="B1418" t="s">
        <v>349</v>
      </c>
      <c r="C1418">
        <v>55</v>
      </c>
      <c r="D1418" t="s">
        <v>199</v>
      </c>
      <c r="E1418">
        <v>1174</v>
      </c>
      <c r="G1418" s="1">
        <v>0.74670000000000003</v>
      </c>
      <c r="I1418" s="1">
        <v>0.25330000000000003</v>
      </c>
    </row>
    <row r="1419" spans="1:9" x14ac:dyDescent="0.25">
      <c r="A1419" t="s">
        <v>198</v>
      </c>
      <c r="B1419" t="s">
        <v>350</v>
      </c>
      <c r="C1419">
        <v>88</v>
      </c>
      <c r="D1419" t="s">
        <v>199</v>
      </c>
      <c r="E1419">
        <v>1174</v>
      </c>
      <c r="G1419" s="1">
        <v>0.76039999999999996</v>
      </c>
      <c r="I1419" s="1">
        <v>0.23960000000000001</v>
      </c>
    </row>
    <row r="1420" spans="1:9" x14ac:dyDescent="0.25">
      <c r="A1420" t="s">
        <v>198</v>
      </c>
      <c r="B1420" t="s">
        <v>350</v>
      </c>
      <c r="C1420">
        <v>32</v>
      </c>
      <c r="D1420" t="s">
        <v>200</v>
      </c>
      <c r="E1420">
        <v>1174</v>
      </c>
      <c r="G1420" s="1">
        <v>0.62339999999999995</v>
      </c>
      <c r="I1420" s="1">
        <v>0.37659999999999999</v>
      </c>
    </row>
    <row r="1421" spans="1:9" x14ac:dyDescent="0.25">
      <c r="A1421" t="s">
        <v>198</v>
      </c>
      <c r="B1421" t="s">
        <v>348</v>
      </c>
      <c r="C1421">
        <v>120</v>
      </c>
      <c r="D1421" t="s">
        <v>200</v>
      </c>
      <c r="E1421">
        <v>1174</v>
      </c>
      <c r="F1421" s="1">
        <v>1.0500000000000001E-2</v>
      </c>
      <c r="G1421" s="1">
        <v>0.70899999999999996</v>
      </c>
      <c r="I1421" s="1">
        <v>0.28050000000000003</v>
      </c>
    </row>
    <row r="1422" spans="1:9" x14ac:dyDescent="0.25">
      <c r="A1422" t="s">
        <v>198</v>
      </c>
      <c r="B1422" t="s">
        <v>349</v>
      </c>
      <c r="C1422">
        <v>31</v>
      </c>
      <c r="D1422" t="s">
        <v>200</v>
      </c>
      <c r="E1422">
        <v>1174</v>
      </c>
      <c r="G1422" s="1">
        <v>0.62819999999999998</v>
      </c>
      <c r="I1422" s="1">
        <v>0.37180000000000002</v>
      </c>
    </row>
    <row r="1423" spans="1:9" x14ac:dyDescent="0.25">
      <c r="A1423" t="s">
        <v>198</v>
      </c>
      <c r="B1423" t="s">
        <v>349</v>
      </c>
      <c r="C1423">
        <v>65</v>
      </c>
      <c r="D1423" t="s">
        <v>201</v>
      </c>
      <c r="E1423">
        <v>1174</v>
      </c>
      <c r="G1423" s="1">
        <v>0.85909999999999997</v>
      </c>
      <c r="H1423" s="1">
        <v>4.3E-3</v>
      </c>
      <c r="I1423" s="1">
        <v>0.13669999999999999</v>
      </c>
    </row>
    <row r="1424" spans="1:9" s="29" customFormat="1" x14ac:dyDescent="0.25">
      <c r="A1424" s="29" t="s">
        <v>198</v>
      </c>
      <c r="B1424" s="29" t="s">
        <v>350</v>
      </c>
      <c r="C1424" s="29">
        <v>25</v>
      </c>
      <c r="D1424" s="29" t="s">
        <v>201</v>
      </c>
      <c r="E1424" s="29">
        <v>1174</v>
      </c>
      <c r="G1424" s="30">
        <v>0.7631</v>
      </c>
      <c r="I1424" s="30">
        <v>0.2369</v>
      </c>
    </row>
    <row r="1425" spans="1:9" x14ac:dyDescent="0.25">
      <c r="A1425" t="s">
        <v>198</v>
      </c>
      <c r="B1425" t="s">
        <v>348</v>
      </c>
      <c r="C1425">
        <v>33</v>
      </c>
      <c r="D1425" t="s">
        <v>201</v>
      </c>
      <c r="E1425">
        <v>1174</v>
      </c>
      <c r="G1425" s="1">
        <v>0.67479999999999996</v>
      </c>
      <c r="I1425" s="1">
        <v>0.32519999999999999</v>
      </c>
    </row>
    <row r="1426" spans="1:9" x14ac:dyDescent="0.25">
      <c r="A1426" t="s">
        <v>198</v>
      </c>
      <c r="B1426" t="s">
        <v>348</v>
      </c>
      <c r="C1426">
        <v>33</v>
      </c>
      <c r="D1426" t="s">
        <v>202</v>
      </c>
      <c r="E1426">
        <v>1174</v>
      </c>
      <c r="G1426" s="1">
        <v>0.81640000000000001</v>
      </c>
      <c r="I1426" s="1">
        <v>0.18360000000000001</v>
      </c>
    </row>
    <row r="1427" spans="1:9" x14ac:dyDescent="0.25">
      <c r="A1427" t="s">
        <v>203</v>
      </c>
      <c r="B1427" t="s">
        <v>349</v>
      </c>
      <c r="C1427">
        <v>74</v>
      </c>
      <c r="D1427" t="s">
        <v>199</v>
      </c>
      <c r="E1427">
        <v>1174</v>
      </c>
      <c r="G1427" s="1">
        <v>0.83830000000000005</v>
      </c>
      <c r="I1427" s="1">
        <v>0.16170000000000001</v>
      </c>
    </row>
    <row r="1428" spans="1:9" s="29" customFormat="1" x14ac:dyDescent="0.25">
      <c r="A1428" s="29" t="s">
        <v>203</v>
      </c>
      <c r="B1428" s="29" t="s">
        <v>348</v>
      </c>
      <c r="C1428" s="29">
        <v>11</v>
      </c>
      <c r="D1428" s="29" t="s">
        <v>199</v>
      </c>
      <c r="E1428" s="29">
        <v>1174</v>
      </c>
      <c r="G1428" s="30">
        <v>0.76219999999999999</v>
      </c>
      <c r="I1428" s="30">
        <v>0.23780000000000001</v>
      </c>
    </row>
    <row r="1429" spans="1:9" x14ac:dyDescent="0.25">
      <c r="A1429" t="s">
        <v>203</v>
      </c>
      <c r="B1429" t="s">
        <v>350</v>
      </c>
      <c r="C1429">
        <v>149</v>
      </c>
      <c r="D1429" t="s">
        <v>199</v>
      </c>
      <c r="E1429">
        <v>1174</v>
      </c>
      <c r="G1429" s="1">
        <v>0.73140000000000005</v>
      </c>
      <c r="I1429" s="1">
        <v>0.26860000000000001</v>
      </c>
    </row>
    <row r="1430" spans="1:9" x14ac:dyDescent="0.25">
      <c r="A1430" t="s">
        <v>203</v>
      </c>
      <c r="B1430" t="s">
        <v>348</v>
      </c>
      <c r="C1430">
        <v>124</v>
      </c>
      <c r="D1430" t="s">
        <v>200</v>
      </c>
      <c r="E1430">
        <v>1174</v>
      </c>
      <c r="G1430" s="1">
        <v>0.74570000000000003</v>
      </c>
      <c r="I1430" s="1">
        <v>0.25430000000000003</v>
      </c>
    </row>
    <row r="1431" spans="1:9" x14ac:dyDescent="0.25">
      <c r="A1431" t="s">
        <v>203</v>
      </c>
      <c r="B1431" t="s">
        <v>349</v>
      </c>
      <c r="C1431">
        <v>41</v>
      </c>
      <c r="D1431" t="s">
        <v>200</v>
      </c>
      <c r="E1431">
        <v>1174</v>
      </c>
      <c r="G1431" s="1">
        <v>0.88200000000000001</v>
      </c>
      <c r="I1431" s="1">
        <v>0.11799999999999999</v>
      </c>
    </row>
    <row r="1432" spans="1:9" x14ac:dyDescent="0.25">
      <c r="A1432" t="s">
        <v>203</v>
      </c>
      <c r="B1432" t="s">
        <v>350</v>
      </c>
      <c r="C1432">
        <v>53</v>
      </c>
      <c r="D1432" t="s">
        <v>200</v>
      </c>
      <c r="E1432">
        <v>1174</v>
      </c>
      <c r="G1432" s="1">
        <v>0.81399999999999995</v>
      </c>
      <c r="I1432" s="1">
        <v>0.186</v>
      </c>
    </row>
    <row r="1433" spans="1:9" s="29" customFormat="1" x14ac:dyDescent="0.25">
      <c r="A1433" s="29" t="s">
        <v>203</v>
      </c>
      <c r="B1433" s="29" t="s">
        <v>348</v>
      </c>
      <c r="C1433" s="29">
        <v>28</v>
      </c>
      <c r="D1433" s="29" t="s">
        <v>201</v>
      </c>
      <c r="E1433" s="29">
        <v>1174</v>
      </c>
      <c r="G1433" s="30">
        <v>0.59189999999999998</v>
      </c>
      <c r="I1433" s="30">
        <v>0.40810000000000002</v>
      </c>
    </row>
    <row r="1434" spans="1:9" x14ac:dyDescent="0.25">
      <c r="A1434" t="s">
        <v>203</v>
      </c>
      <c r="B1434" t="s">
        <v>349</v>
      </c>
      <c r="C1434">
        <v>60</v>
      </c>
      <c r="D1434" t="s">
        <v>201</v>
      </c>
      <c r="E1434">
        <v>1174</v>
      </c>
      <c r="G1434" s="1">
        <v>0.82279999999999998</v>
      </c>
      <c r="I1434" s="1">
        <v>0.1772</v>
      </c>
    </row>
    <row r="1435" spans="1:9" x14ac:dyDescent="0.25">
      <c r="A1435" t="s">
        <v>203</v>
      </c>
      <c r="B1435" t="s">
        <v>350</v>
      </c>
      <c r="C1435">
        <v>46</v>
      </c>
      <c r="D1435" t="s">
        <v>201</v>
      </c>
      <c r="E1435">
        <v>1174</v>
      </c>
      <c r="G1435" s="1">
        <v>0.74819999999999998</v>
      </c>
      <c r="I1435" s="1">
        <v>0.25180000000000002</v>
      </c>
    </row>
    <row r="1436" spans="1:9" x14ac:dyDescent="0.25">
      <c r="A1436" t="s">
        <v>203</v>
      </c>
      <c r="B1436" t="s">
        <v>348</v>
      </c>
      <c r="C1436">
        <v>45</v>
      </c>
      <c r="D1436" t="s">
        <v>202</v>
      </c>
      <c r="E1436">
        <v>1174</v>
      </c>
      <c r="G1436" s="1">
        <v>0.74380000000000002</v>
      </c>
      <c r="I1436" s="1">
        <v>0.25619999999999998</v>
      </c>
    </row>
    <row r="1437" spans="1:9" x14ac:dyDescent="0.25">
      <c r="A1437" t="s">
        <v>204</v>
      </c>
      <c r="B1437" t="s">
        <v>204</v>
      </c>
      <c r="C1437">
        <v>1174</v>
      </c>
      <c r="D1437" t="s">
        <v>204</v>
      </c>
      <c r="E1437">
        <v>1174</v>
      </c>
      <c r="F1437" s="1">
        <v>1.4E-3</v>
      </c>
      <c r="G1437" s="1">
        <v>0.75270000000000004</v>
      </c>
      <c r="H1437" s="1">
        <v>2.0000000000000001E-4</v>
      </c>
      <c r="I1437" s="1">
        <v>0.24560000000000001</v>
      </c>
    </row>
    <row r="1439" spans="1:9" x14ac:dyDescent="0.25">
      <c r="A1439" t="s">
        <v>455</v>
      </c>
    </row>
    <row r="1440" spans="1:9" x14ac:dyDescent="0.25">
      <c r="A1440" t="s">
        <v>190</v>
      </c>
      <c r="B1440" t="s">
        <v>195</v>
      </c>
      <c r="C1440" t="s">
        <v>189</v>
      </c>
      <c r="D1440" t="s">
        <v>196</v>
      </c>
      <c r="E1440" t="s">
        <v>220</v>
      </c>
      <c r="F1440" t="s">
        <v>207</v>
      </c>
      <c r="G1440" t="s">
        <v>215</v>
      </c>
      <c r="H1440" t="s">
        <v>208</v>
      </c>
    </row>
    <row r="1441" spans="1:9" s="29" customFormat="1" x14ac:dyDescent="0.25">
      <c r="A1441" s="29" t="s">
        <v>198</v>
      </c>
      <c r="B1441" s="29">
        <v>18</v>
      </c>
      <c r="C1441" s="29" t="s">
        <v>197</v>
      </c>
      <c r="D1441" s="29">
        <v>540</v>
      </c>
      <c r="F1441" s="30">
        <v>0.89690000000000003</v>
      </c>
      <c r="H1441" s="30">
        <v>0.1031</v>
      </c>
    </row>
    <row r="1442" spans="1:9" s="29" customFormat="1" x14ac:dyDescent="0.25">
      <c r="A1442" s="29" t="s">
        <v>198</v>
      </c>
      <c r="B1442" s="29">
        <v>10</v>
      </c>
      <c r="C1442" s="29" t="s">
        <v>199</v>
      </c>
      <c r="D1442" s="29">
        <v>540</v>
      </c>
      <c r="F1442" s="30">
        <v>0.99560000000000004</v>
      </c>
      <c r="H1442" s="30">
        <v>4.4000000000000003E-3</v>
      </c>
    </row>
    <row r="1443" spans="1:9" x14ac:dyDescent="0.25">
      <c r="A1443" t="s">
        <v>198</v>
      </c>
      <c r="B1443">
        <v>131</v>
      </c>
      <c r="C1443" t="s">
        <v>200</v>
      </c>
      <c r="D1443">
        <v>540</v>
      </c>
      <c r="E1443" s="1">
        <v>1.1599999999999999E-2</v>
      </c>
      <c r="F1443" s="1">
        <v>0.86839999999999995</v>
      </c>
      <c r="G1443" s="1">
        <v>4.4000000000000003E-3</v>
      </c>
      <c r="H1443" s="1">
        <v>0.11559999999999999</v>
      </c>
    </row>
    <row r="1444" spans="1:9" x14ac:dyDescent="0.25">
      <c r="A1444" t="s">
        <v>198</v>
      </c>
      <c r="B1444">
        <v>50</v>
      </c>
      <c r="C1444" t="s">
        <v>201</v>
      </c>
      <c r="D1444">
        <v>540</v>
      </c>
      <c r="F1444" s="1">
        <v>0.91320000000000001</v>
      </c>
      <c r="H1444" s="1">
        <v>8.6800000000000002E-2</v>
      </c>
    </row>
    <row r="1445" spans="1:9" s="29" customFormat="1" x14ac:dyDescent="0.25">
      <c r="A1445" s="29" t="s">
        <v>198</v>
      </c>
      <c r="B1445" s="29">
        <v>27</v>
      </c>
      <c r="C1445" s="29" t="s">
        <v>202</v>
      </c>
      <c r="D1445" s="29">
        <v>540</v>
      </c>
      <c r="E1445" s="30">
        <v>5.1299999999999998E-2</v>
      </c>
      <c r="F1445" s="30">
        <v>0.94869999999999999</v>
      </c>
    </row>
    <row r="1446" spans="1:9" s="29" customFormat="1" x14ac:dyDescent="0.25">
      <c r="A1446" s="29" t="s">
        <v>203</v>
      </c>
      <c r="B1446" s="29">
        <v>29</v>
      </c>
      <c r="C1446" s="29" t="s">
        <v>199</v>
      </c>
      <c r="D1446" s="29">
        <v>540</v>
      </c>
      <c r="E1446" s="30">
        <v>9.2999999999999992E-3</v>
      </c>
      <c r="F1446" s="30">
        <v>0.9819</v>
      </c>
      <c r="H1446" s="30">
        <v>8.8000000000000005E-3</v>
      </c>
    </row>
    <row r="1447" spans="1:9" x14ac:dyDescent="0.25">
      <c r="A1447" t="s">
        <v>203</v>
      </c>
      <c r="B1447">
        <v>187</v>
      </c>
      <c r="C1447" t="s">
        <v>200</v>
      </c>
      <c r="D1447">
        <v>540</v>
      </c>
      <c r="F1447" s="1">
        <v>0.96730000000000005</v>
      </c>
      <c r="H1447" s="1">
        <v>3.27E-2</v>
      </c>
    </row>
    <row r="1448" spans="1:9" x14ac:dyDescent="0.25">
      <c r="A1448" t="s">
        <v>203</v>
      </c>
      <c r="B1448">
        <v>43</v>
      </c>
      <c r="C1448" t="s">
        <v>201</v>
      </c>
      <c r="D1448">
        <v>540</v>
      </c>
      <c r="F1448" s="1">
        <v>0.99619999999999997</v>
      </c>
      <c r="H1448" s="1">
        <v>3.8E-3</v>
      </c>
    </row>
    <row r="1449" spans="1:9" x14ac:dyDescent="0.25">
      <c r="A1449" t="s">
        <v>203</v>
      </c>
      <c r="B1449">
        <v>45</v>
      </c>
      <c r="C1449" t="s">
        <v>202</v>
      </c>
      <c r="D1449">
        <v>540</v>
      </c>
      <c r="F1449" s="1">
        <v>1</v>
      </c>
    </row>
    <row r="1450" spans="1:9" x14ac:dyDescent="0.25">
      <c r="A1450" t="s">
        <v>204</v>
      </c>
      <c r="B1450">
        <v>540</v>
      </c>
      <c r="C1450" t="s">
        <v>204</v>
      </c>
      <c r="D1450">
        <v>540</v>
      </c>
      <c r="E1450" s="1">
        <v>8.0000000000000002E-3</v>
      </c>
      <c r="F1450" s="1">
        <v>0.94710000000000005</v>
      </c>
      <c r="G1450" s="1">
        <v>8.0000000000000004E-4</v>
      </c>
      <c r="H1450" s="1">
        <v>4.41E-2</v>
      </c>
    </row>
    <row r="1452" spans="1:9" x14ac:dyDescent="0.25">
      <c r="A1452" t="s">
        <v>456</v>
      </c>
    </row>
    <row r="1453" spans="1:9" x14ac:dyDescent="0.25">
      <c r="A1453" t="s">
        <v>190</v>
      </c>
      <c r="B1453" t="s">
        <v>206</v>
      </c>
      <c r="C1453" t="s">
        <v>195</v>
      </c>
      <c r="D1453" t="s">
        <v>189</v>
      </c>
      <c r="E1453" t="s">
        <v>196</v>
      </c>
      <c r="F1453" t="s">
        <v>220</v>
      </c>
      <c r="G1453" t="s">
        <v>207</v>
      </c>
      <c r="H1453" t="s">
        <v>215</v>
      </c>
      <c r="I1453" t="s">
        <v>208</v>
      </c>
    </row>
    <row r="1454" spans="1:9" s="29" customFormat="1" x14ac:dyDescent="0.25">
      <c r="A1454" s="29" t="s">
        <v>198</v>
      </c>
      <c r="B1454" s="29" t="s">
        <v>228</v>
      </c>
      <c r="C1454" s="29">
        <v>8</v>
      </c>
      <c r="D1454" s="29" t="s">
        <v>197</v>
      </c>
      <c r="E1454" s="29">
        <v>540</v>
      </c>
      <c r="G1454" s="30">
        <v>0.74760000000000004</v>
      </c>
      <c r="I1454" s="30">
        <v>0.25240000000000001</v>
      </c>
    </row>
    <row r="1455" spans="1:9" s="29" customFormat="1" x14ac:dyDescent="0.25">
      <c r="A1455" s="29" t="s">
        <v>198</v>
      </c>
      <c r="B1455" s="29" t="s">
        <v>229</v>
      </c>
      <c r="C1455" s="29">
        <v>10</v>
      </c>
      <c r="D1455" s="29" t="s">
        <v>197</v>
      </c>
      <c r="E1455" s="29">
        <v>540</v>
      </c>
      <c r="G1455" s="30">
        <v>1</v>
      </c>
    </row>
    <row r="1456" spans="1:9" s="29" customFormat="1" x14ac:dyDescent="0.25">
      <c r="A1456" s="29" t="s">
        <v>198</v>
      </c>
      <c r="B1456" s="29" t="s">
        <v>228</v>
      </c>
      <c r="C1456" s="29">
        <v>4</v>
      </c>
      <c r="D1456" s="29" t="s">
        <v>199</v>
      </c>
      <c r="E1456" s="29">
        <v>540</v>
      </c>
      <c r="G1456" s="30">
        <v>0.98419999999999996</v>
      </c>
      <c r="I1456" s="30">
        <v>1.5800000000000002E-2</v>
      </c>
    </row>
    <row r="1457" spans="1:9" s="29" customFormat="1" x14ac:dyDescent="0.25">
      <c r="A1457" s="29" t="s">
        <v>198</v>
      </c>
      <c r="B1457" s="29" t="s">
        <v>229</v>
      </c>
      <c r="C1457" s="29">
        <v>6</v>
      </c>
      <c r="D1457" s="29" t="s">
        <v>199</v>
      </c>
      <c r="E1457" s="29">
        <v>540</v>
      </c>
      <c r="G1457" s="30">
        <v>1</v>
      </c>
    </row>
    <row r="1458" spans="1:9" x14ac:dyDescent="0.25">
      <c r="A1458" t="s">
        <v>198</v>
      </c>
      <c r="B1458" t="s">
        <v>229</v>
      </c>
      <c r="C1458">
        <v>103</v>
      </c>
      <c r="D1458" t="s">
        <v>200</v>
      </c>
      <c r="E1458">
        <v>540</v>
      </c>
      <c r="F1458" s="1">
        <v>1.3899999999999999E-2</v>
      </c>
      <c r="G1458" s="1">
        <v>0.87690000000000001</v>
      </c>
      <c r="H1458" s="1">
        <v>5.1999999999999998E-3</v>
      </c>
      <c r="I1458" s="1">
        <v>0.104</v>
      </c>
    </row>
    <row r="1459" spans="1:9" s="29" customFormat="1" x14ac:dyDescent="0.25">
      <c r="A1459" s="29" t="s">
        <v>198</v>
      </c>
      <c r="B1459" s="29" t="s">
        <v>228</v>
      </c>
      <c r="C1459" s="29">
        <v>27</v>
      </c>
      <c r="D1459" s="29" t="s">
        <v>200</v>
      </c>
      <c r="E1459" s="29">
        <v>540</v>
      </c>
      <c r="G1459" s="30">
        <v>0.82</v>
      </c>
      <c r="I1459" s="30">
        <v>0.18</v>
      </c>
    </row>
    <row r="1460" spans="1:9" s="29" customFormat="1" x14ac:dyDescent="0.25">
      <c r="A1460" s="29" t="s">
        <v>198</v>
      </c>
      <c r="B1460" s="29" t="s">
        <v>228</v>
      </c>
      <c r="C1460" s="29">
        <v>19</v>
      </c>
      <c r="D1460" s="29" t="s">
        <v>201</v>
      </c>
      <c r="E1460" s="29">
        <v>540</v>
      </c>
      <c r="G1460" s="30">
        <v>0.97089999999999999</v>
      </c>
      <c r="I1460" s="30">
        <v>2.9100000000000001E-2</v>
      </c>
    </row>
    <row r="1461" spans="1:9" x14ac:dyDescent="0.25">
      <c r="A1461" t="s">
        <v>198</v>
      </c>
      <c r="B1461" t="s">
        <v>229</v>
      </c>
      <c r="C1461">
        <v>30</v>
      </c>
      <c r="D1461" t="s">
        <v>201</v>
      </c>
      <c r="E1461">
        <v>540</v>
      </c>
      <c r="G1461" s="1">
        <v>0.89759999999999995</v>
      </c>
      <c r="I1461" s="1">
        <v>0.1024</v>
      </c>
    </row>
    <row r="1462" spans="1:9" s="29" customFormat="1" x14ac:dyDescent="0.25">
      <c r="A1462" s="29" t="s">
        <v>198</v>
      </c>
      <c r="B1462" s="29" t="s">
        <v>229</v>
      </c>
      <c r="C1462" s="29">
        <v>16</v>
      </c>
      <c r="D1462" s="29" t="s">
        <v>202</v>
      </c>
      <c r="E1462" s="29">
        <v>540</v>
      </c>
      <c r="G1462" s="30">
        <v>1</v>
      </c>
    </row>
    <row r="1463" spans="1:9" s="29" customFormat="1" x14ac:dyDescent="0.25">
      <c r="A1463" s="29" t="s">
        <v>198</v>
      </c>
      <c r="B1463" s="29" t="s">
        <v>228</v>
      </c>
      <c r="C1463" s="29">
        <v>11</v>
      </c>
      <c r="D1463" s="29" t="s">
        <v>202</v>
      </c>
      <c r="E1463" s="29">
        <v>540</v>
      </c>
      <c r="F1463" s="30">
        <v>0.18410000000000001</v>
      </c>
      <c r="G1463" s="30">
        <v>0.81589999999999996</v>
      </c>
    </row>
    <row r="1464" spans="1:9" s="29" customFormat="1" x14ac:dyDescent="0.25">
      <c r="A1464" s="29" t="s">
        <v>203</v>
      </c>
      <c r="B1464" s="29" t="s">
        <v>229</v>
      </c>
      <c r="C1464" s="29">
        <v>22</v>
      </c>
      <c r="D1464" s="29" t="s">
        <v>199</v>
      </c>
      <c r="E1464" s="29">
        <v>540</v>
      </c>
      <c r="F1464" s="30">
        <v>1.09E-2</v>
      </c>
      <c r="G1464" s="30">
        <v>0.98370000000000002</v>
      </c>
      <c r="I1464" s="30">
        <v>5.3E-3</v>
      </c>
    </row>
    <row r="1465" spans="1:9" s="29" customFormat="1" x14ac:dyDescent="0.25">
      <c r="A1465" s="29" t="s">
        <v>203</v>
      </c>
      <c r="B1465" s="29" t="s">
        <v>228</v>
      </c>
      <c r="C1465" s="29">
        <v>6</v>
      </c>
      <c r="D1465" s="29" t="s">
        <v>199</v>
      </c>
      <c r="E1465" s="29">
        <v>540</v>
      </c>
      <c r="G1465" s="30">
        <v>0.9698</v>
      </c>
      <c r="I1465" s="30">
        <v>3.0200000000000001E-2</v>
      </c>
    </row>
    <row r="1466" spans="1:9" x14ac:dyDescent="0.25">
      <c r="A1466" t="s">
        <v>203</v>
      </c>
      <c r="B1466" t="s">
        <v>228</v>
      </c>
      <c r="C1466">
        <v>60</v>
      </c>
      <c r="D1466" t="s">
        <v>200</v>
      </c>
      <c r="E1466">
        <v>540</v>
      </c>
      <c r="G1466" s="1">
        <v>0.91930000000000001</v>
      </c>
      <c r="I1466" s="1">
        <v>8.0699999999999994E-2</v>
      </c>
    </row>
    <row r="1467" spans="1:9" x14ac:dyDescent="0.25">
      <c r="A1467" t="s">
        <v>203</v>
      </c>
      <c r="B1467" t="s">
        <v>229</v>
      </c>
      <c r="C1467">
        <v>127</v>
      </c>
      <c r="D1467" t="s">
        <v>200</v>
      </c>
      <c r="E1467">
        <v>540</v>
      </c>
      <c r="G1467" s="1">
        <v>0.98040000000000005</v>
      </c>
      <c r="I1467" s="1">
        <v>1.9599999999999999E-2</v>
      </c>
    </row>
    <row r="1468" spans="1:9" s="29" customFormat="1" x14ac:dyDescent="0.25">
      <c r="A1468" s="29" t="s">
        <v>203</v>
      </c>
      <c r="B1468" s="29" t="s">
        <v>228</v>
      </c>
      <c r="C1468" s="29">
        <v>18</v>
      </c>
      <c r="D1468" s="29" t="s">
        <v>201</v>
      </c>
      <c r="E1468" s="29">
        <v>540</v>
      </c>
      <c r="G1468" s="30">
        <v>0.98109999999999997</v>
      </c>
      <c r="I1468" s="30">
        <v>1.89E-2</v>
      </c>
    </row>
    <row r="1469" spans="1:9" s="29" customFormat="1" x14ac:dyDescent="0.25">
      <c r="A1469" s="29" t="s">
        <v>203</v>
      </c>
      <c r="B1469" s="29" t="s">
        <v>229</v>
      </c>
      <c r="C1469" s="29">
        <v>25</v>
      </c>
      <c r="D1469" s="29" t="s">
        <v>201</v>
      </c>
      <c r="E1469" s="29">
        <v>540</v>
      </c>
      <c r="G1469" s="30">
        <v>1</v>
      </c>
    </row>
    <row r="1470" spans="1:9" s="29" customFormat="1" x14ac:dyDescent="0.25">
      <c r="A1470" s="29" t="s">
        <v>203</v>
      </c>
      <c r="B1470" s="29" t="s">
        <v>228</v>
      </c>
      <c r="C1470" s="29">
        <v>24</v>
      </c>
      <c r="D1470" s="29" t="s">
        <v>202</v>
      </c>
      <c r="E1470" s="29">
        <v>540</v>
      </c>
      <c r="G1470" s="30">
        <v>1</v>
      </c>
    </row>
    <row r="1471" spans="1:9" s="29" customFormat="1" x14ac:dyDescent="0.25">
      <c r="A1471" s="29" t="s">
        <v>203</v>
      </c>
      <c r="B1471" s="29" t="s">
        <v>229</v>
      </c>
      <c r="C1471" s="29">
        <v>21</v>
      </c>
      <c r="D1471" s="29" t="s">
        <v>202</v>
      </c>
      <c r="E1471" s="29">
        <v>540</v>
      </c>
      <c r="G1471" s="30">
        <v>1</v>
      </c>
    </row>
    <row r="1472" spans="1:9" x14ac:dyDescent="0.25">
      <c r="A1472" t="s">
        <v>204</v>
      </c>
      <c r="B1472" t="s">
        <v>204</v>
      </c>
      <c r="C1472">
        <v>540</v>
      </c>
      <c r="D1472" t="s">
        <v>204</v>
      </c>
      <c r="E1472">
        <v>540</v>
      </c>
      <c r="F1472" s="1">
        <v>8.0000000000000002E-3</v>
      </c>
      <c r="G1472" s="1">
        <v>0.94710000000000005</v>
      </c>
      <c r="H1472" s="1">
        <v>8.0000000000000004E-4</v>
      </c>
      <c r="I1472" s="1">
        <v>4.41E-2</v>
      </c>
    </row>
    <row r="1474" spans="1:9" x14ac:dyDescent="0.25">
      <c r="A1474" t="s">
        <v>457</v>
      </c>
    </row>
    <row r="1475" spans="1:9" x14ac:dyDescent="0.25">
      <c r="A1475" t="s">
        <v>190</v>
      </c>
      <c r="B1475" t="s">
        <v>206</v>
      </c>
      <c r="C1475" t="s">
        <v>195</v>
      </c>
      <c r="D1475" t="s">
        <v>189</v>
      </c>
      <c r="E1475" t="s">
        <v>196</v>
      </c>
      <c r="F1475" t="s">
        <v>220</v>
      </c>
      <c r="G1475" t="s">
        <v>207</v>
      </c>
      <c r="H1475" t="s">
        <v>215</v>
      </c>
      <c r="I1475" t="s">
        <v>208</v>
      </c>
    </row>
    <row r="1476" spans="1:9" s="29" customFormat="1" x14ac:dyDescent="0.25">
      <c r="A1476" s="29" t="s">
        <v>198</v>
      </c>
      <c r="B1476" s="29" t="s">
        <v>348</v>
      </c>
      <c r="C1476" s="29">
        <v>17</v>
      </c>
      <c r="D1476" s="29" t="s">
        <v>197</v>
      </c>
      <c r="E1476" s="29">
        <v>540</v>
      </c>
      <c r="G1476" s="30">
        <v>0.89129999999999998</v>
      </c>
      <c r="I1476" s="30">
        <v>0.1087</v>
      </c>
    </row>
    <row r="1477" spans="1:9" s="29" customFormat="1" x14ac:dyDescent="0.25">
      <c r="A1477" s="29" t="s">
        <v>198</v>
      </c>
      <c r="B1477" s="29" t="s">
        <v>349</v>
      </c>
      <c r="C1477" s="29">
        <v>1</v>
      </c>
      <c r="D1477" s="29" t="s">
        <v>197</v>
      </c>
      <c r="E1477" s="29">
        <v>540</v>
      </c>
      <c r="G1477" s="30">
        <v>1</v>
      </c>
    </row>
    <row r="1478" spans="1:9" s="29" customFormat="1" x14ac:dyDescent="0.25">
      <c r="A1478" s="29" t="s">
        <v>198</v>
      </c>
      <c r="B1478" s="29" t="s">
        <v>349</v>
      </c>
      <c r="C1478" s="29">
        <v>6</v>
      </c>
      <c r="D1478" s="29" t="s">
        <v>199</v>
      </c>
      <c r="E1478" s="29">
        <v>540</v>
      </c>
      <c r="G1478" s="30">
        <v>1</v>
      </c>
    </row>
    <row r="1479" spans="1:9" s="29" customFormat="1" x14ac:dyDescent="0.25">
      <c r="A1479" s="29" t="s">
        <v>198</v>
      </c>
      <c r="B1479" s="29" t="s">
        <v>350</v>
      </c>
      <c r="C1479" s="29">
        <v>4</v>
      </c>
      <c r="D1479" s="29" t="s">
        <v>199</v>
      </c>
      <c r="E1479" s="29">
        <v>540</v>
      </c>
      <c r="G1479" s="30">
        <v>0.95109999999999995</v>
      </c>
      <c r="I1479" s="30">
        <v>4.8899999999999999E-2</v>
      </c>
    </row>
    <row r="1480" spans="1:9" s="29" customFormat="1" x14ac:dyDescent="0.25">
      <c r="A1480" s="29" t="s">
        <v>198</v>
      </c>
      <c r="B1480" s="29" t="s">
        <v>350</v>
      </c>
      <c r="C1480" s="29">
        <v>13</v>
      </c>
      <c r="D1480" s="29" t="s">
        <v>200</v>
      </c>
      <c r="E1480" s="29">
        <v>540</v>
      </c>
      <c r="G1480" s="30">
        <v>0.75880000000000003</v>
      </c>
      <c r="I1480" s="30">
        <v>0.2412</v>
      </c>
    </row>
    <row r="1481" spans="1:9" s="29" customFormat="1" x14ac:dyDescent="0.25">
      <c r="A1481" s="29" t="s">
        <v>198</v>
      </c>
      <c r="B1481" s="29" t="s">
        <v>349</v>
      </c>
      <c r="C1481" s="29">
        <v>21</v>
      </c>
      <c r="D1481" s="29" t="s">
        <v>200</v>
      </c>
      <c r="E1481" s="29">
        <v>540</v>
      </c>
      <c r="G1481" s="30">
        <v>0.76259999999999994</v>
      </c>
      <c r="I1481" s="30">
        <v>0.2374</v>
      </c>
    </row>
    <row r="1482" spans="1:9" x14ac:dyDescent="0.25">
      <c r="A1482" t="s">
        <v>198</v>
      </c>
      <c r="B1482" t="s">
        <v>348</v>
      </c>
      <c r="C1482">
        <v>96</v>
      </c>
      <c r="D1482" t="s">
        <v>200</v>
      </c>
      <c r="E1482">
        <v>540</v>
      </c>
      <c r="F1482" s="1">
        <v>1.3299999999999999E-2</v>
      </c>
      <c r="G1482" s="1">
        <v>0.8831</v>
      </c>
      <c r="H1482" s="1">
        <v>5.0000000000000001E-3</v>
      </c>
      <c r="I1482" s="1">
        <v>9.8599999999999993E-2</v>
      </c>
    </row>
    <row r="1483" spans="1:9" s="29" customFormat="1" x14ac:dyDescent="0.25">
      <c r="A1483" s="29" t="s">
        <v>198</v>
      </c>
      <c r="B1483" s="29" t="s">
        <v>349</v>
      </c>
      <c r="C1483" s="29">
        <v>24</v>
      </c>
      <c r="D1483" s="29" t="s">
        <v>201</v>
      </c>
      <c r="E1483" s="29">
        <v>540</v>
      </c>
      <c r="G1483" s="30">
        <v>0.94930000000000003</v>
      </c>
      <c r="I1483" s="30">
        <v>5.0700000000000002E-2</v>
      </c>
    </row>
    <row r="1484" spans="1:9" s="29" customFormat="1" x14ac:dyDescent="0.25">
      <c r="A1484" s="29" t="s">
        <v>198</v>
      </c>
      <c r="B1484" s="29" t="s">
        <v>348</v>
      </c>
      <c r="C1484" s="29">
        <v>20</v>
      </c>
      <c r="D1484" s="29" t="s">
        <v>201</v>
      </c>
      <c r="E1484" s="29">
        <v>540</v>
      </c>
      <c r="G1484" s="30">
        <v>0.84899999999999998</v>
      </c>
      <c r="I1484" s="30">
        <v>0.151</v>
      </c>
    </row>
    <row r="1485" spans="1:9" s="29" customFormat="1" x14ac:dyDescent="0.25">
      <c r="A1485" s="29" t="s">
        <v>198</v>
      </c>
      <c r="B1485" s="29" t="s">
        <v>350</v>
      </c>
      <c r="C1485" s="29">
        <v>5</v>
      </c>
      <c r="D1485" s="29" t="s">
        <v>201</v>
      </c>
      <c r="E1485" s="29">
        <v>540</v>
      </c>
      <c r="G1485" s="30">
        <v>0.45500000000000002</v>
      </c>
      <c r="I1485" s="30">
        <v>0.54500000000000004</v>
      </c>
    </row>
    <row r="1486" spans="1:9" s="29" customFormat="1" x14ac:dyDescent="0.25">
      <c r="A1486" s="29" t="s">
        <v>198</v>
      </c>
      <c r="B1486" s="29" t="s">
        <v>348</v>
      </c>
      <c r="C1486" s="29">
        <v>27</v>
      </c>
      <c r="D1486" s="29" t="s">
        <v>202</v>
      </c>
      <c r="E1486" s="29">
        <v>540</v>
      </c>
      <c r="F1486" s="30">
        <v>5.1299999999999998E-2</v>
      </c>
      <c r="G1486" s="30">
        <v>0.94869999999999999</v>
      </c>
    </row>
    <row r="1487" spans="1:9" s="29" customFormat="1" x14ac:dyDescent="0.25">
      <c r="A1487" s="29" t="s">
        <v>203</v>
      </c>
      <c r="B1487" s="29" t="s">
        <v>350</v>
      </c>
      <c r="C1487" s="29">
        <v>11</v>
      </c>
      <c r="D1487" s="29" t="s">
        <v>199</v>
      </c>
      <c r="E1487" s="29">
        <v>540</v>
      </c>
      <c r="F1487" s="30">
        <v>2.9499999999999998E-2</v>
      </c>
      <c r="G1487" s="30">
        <v>0.95599999999999996</v>
      </c>
      <c r="I1487" s="30">
        <v>1.4500000000000001E-2</v>
      </c>
    </row>
    <row r="1488" spans="1:9" s="29" customFormat="1" x14ac:dyDescent="0.25">
      <c r="A1488" s="29" t="s">
        <v>203</v>
      </c>
      <c r="B1488" s="29" t="s">
        <v>349</v>
      </c>
      <c r="C1488" s="29">
        <v>17</v>
      </c>
      <c r="D1488" s="29" t="s">
        <v>199</v>
      </c>
      <c r="E1488" s="29">
        <v>540</v>
      </c>
      <c r="G1488" s="30">
        <v>0.99370000000000003</v>
      </c>
      <c r="I1488" s="30">
        <v>6.3E-3</v>
      </c>
    </row>
    <row r="1489" spans="1:9" x14ac:dyDescent="0.25">
      <c r="A1489" t="s">
        <v>203</v>
      </c>
      <c r="B1489" t="s">
        <v>349</v>
      </c>
      <c r="C1489">
        <v>35</v>
      </c>
      <c r="D1489" t="s">
        <v>200</v>
      </c>
      <c r="E1489">
        <v>540</v>
      </c>
      <c r="G1489" s="1">
        <v>0.88400000000000001</v>
      </c>
      <c r="I1489" s="1">
        <v>0.11600000000000001</v>
      </c>
    </row>
    <row r="1490" spans="1:9" x14ac:dyDescent="0.25">
      <c r="A1490" t="s">
        <v>203</v>
      </c>
      <c r="B1490" t="s">
        <v>348</v>
      </c>
      <c r="C1490">
        <v>120</v>
      </c>
      <c r="D1490" t="s">
        <v>200</v>
      </c>
      <c r="E1490">
        <v>540</v>
      </c>
      <c r="G1490" s="1">
        <v>0.97489999999999999</v>
      </c>
      <c r="I1490" s="1">
        <v>2.5100000000000001E-2</v>
      </c>
    </row>
    <row r="1491" spans="1:9" x14ac:dyDescent="0.25">
      <c r="A1491" t="s">
        <v>203</v>
      </c>
      <c r="B1491" t="s">
        <v>350</v>
      </c>
      <c r="C1491">
        <v>32</v>
      </c>
      <c r="D1491" t="s">
        <v>200</v>
      </c>
      <c r="E1491">
        <v>540</v>
      </c>
      <c r="G1491" s="1">
        <v>0.93359999999999999</v>
      </c>
      <c r="I1491" s="1">
        <v>6.6400000000000001E-2</v>
      </c>
    </row>
    <row r="1492" spans="1:9" s="29" customFormat="1" x14ac:dyDescent="0.25">
      <c r="A1492" s="29" t="s">
        <v>203</v>
      </c>
      <c r="B1492" s="29" t="s">
        <v>348</v>
      </c>
      <c r="C1492" s="29">
        <v>24</v>
      </c>
      <c r="D1492" s="29" t="s">
        <v>201</v>
      </c>
      <c r="E1492" s="29">
        <v>540</v>
      </c>
      <c r="G1492" s="30">
        <v>1</v>
      </c>
    </row>
    <row r="1493" spans="1:9" s="29" customFormat="1" x14ac:dyDescent="0.25">
      <c r="A1493" s="29" t="s">
        <v>203</v>
      </c>
      <c r="B1493" s="29" t="s">
        <v>349</v>
      </c>
      <c r="C1493" s="29">
        <v>15</v>
      </c>
      <c r="D1493" s="29" t="s">
        <v>201</v>
      </c>
      <c r="E1493" s="29">
        <v>540</v>
      </c>
      <c r="G1493" s="30">
        <v>0.99839999999999995</v>
      </c>
      <c r="I1493" s="30">
        <v>1.6000000000000001E-3</v>
      </c>
    </row>
    <row r="1494" spans="1:9" s="29" customFormat="1" x14ac:dyDescent="0.25">
      <c r="A1494" s="29" t="s">
        <v>203</v>
      </c>
      <c r="B1494" s="29" t="s">
        <v>350</v>
      </c>
      <c r="C1494" s="29">
        <v>4</v>
      </c>
      <c r="D1494" s="29" t="s">
        <v>201</v>
      </c>
      <c r="E1494" s="29">
        <v>540</v>
      </c>
      <c r="G1494" s="30">
        <v>0.85509999999999997</v>
      </c>
      <c r="I1494" s="30">
        <v>0.1449</v>
      </c>
    </row>
    <row r="1495" spans="1:9" x14ac:dyDescent="0.25">
      <c r="A1495" t="s">
        <v>203</v>
      </c>
      <c r="B1495" t="s">
        <v>348</v>
      </c>
      <c r="C1495">
        <v>45</v>
      </c>
      <c r="D1495" t="s">
        <v>202</v>
      </c>
      <c r="E1495">
        <v>540</v>
      </c>
      <c r="G1495" s="1">
        <v>1</v>
      </c>
    </row>
    <row r="1496" spans="1:9" x14ac:dyDescent="0.25">
      <c r="A1496" t="s">
        <v>204</v>
      </c>
      <c r="B1496" t="s">
        <v>204</v>
      </c>
      <c r="C1496">
        <v>540</v>
      </c>
      <c r="D1496" t="s">
        <v>204</v>
      </c>
      <c r="E1496">
        <v>540</v>
      </c>
      <c r="F1496" s="1">
        <v>8.0000000000000002E-3</v>
      </c>
      <c r="G1496" s="1">
        <v>0.94710000000000005</v>
      </c>
      <c r="H1496" s="1">
        <v>8.0000000000000004E-4</v>
      </c>
      <c r="I1496" s="1">
        <v>4.41E-2</v>
      </c>
    </row>
    <row r="1498" spans="1:9" x14ac:dyDescent="0.25">
      <c r="A1498" t="s">
        <v>458</v>
      </c>
    </row>
    <row r="1499" spans="1:9" x14ac:dyDescent="0.25">
      <c r="A1499" t="s">
        <v>190</v>
      </c>
      <c r="B1499" t="s">
        <v>195</v>
      </c>
      <c r="C1499" t="s">
        <v>189</v>
      </c>
      <c r="D1499" t="s">
        <v>196</v>
      </c>
      <c r="E1499" t="s">
        <v>220</v>
      </c>
      <c r="F1499" t="s">
        <v>207</v>
      </c>
      <c r="G1499" t="s">
        <v>215</v>
      </c>
      <c r="H1499" t="s">
        <v>208</v>
      </c>
    </row>
    <row r="1500" spans="1:9" s="29" customFormat="1" x14ac:dyDescent="0.25">
      <c r="A1500" s="29" t="s">
        <v>198</v>
      </c>
      <c r="B1500" s="29">
        <v>22</v>
      </c>
      <c r="C1500" s="29" t="s">
        <v>197</v>
      </c>
      <c r="D1500" s="29">
        <v>909</v>
      </c>
      <c r="E1500" s="30">
        <v>5.0999999999999997E-2</v>
      </c>
      <c r="F1500" s="30">
        <v>0.84709999999999996</v>
      </c>
      <c r="H1500" s="30">
        <v>0.1019</v>
      </c>
    </row>
    <row r="1501" spans="1:9" x14ac:dyDescent="0.25">
      <c r="A1501" t="s">
        <v>198</v>
      </c>
      <c r="B1501">
        <v>157</v>
      </c>
      <c r="C1501" t="s">
        <v>199</v>
      </c>
      <c r="D1501">
        <v>909</v>
      </c>
      <c r="E1501" s="1">
        <v>9.7999999999999997E-3</v>
      </c>
      <c r="F1501" s="1">
        <v>0.83889999999999998</v>
      </c>
      <c r="G1501" s="1">
        <v>5.1000000000000004E-3</v>
      </c>
      <c r="H1501" s="1">
        <v>0.14610000000000001</v>
      </c>
    </row>
    <row r="1502" spans="1:9" x14ac:dyDescent="0.25">
      <c r="A1502" t="s">
        <v>198</v>
      </c>
      <c r="B1502">
        <v>121</v>
      </c>
      <c r="C1502" t="s">
        <v>200</v>
      </c>
      <c r="D1502">
        <v>909</v>
      </c>
      <c r="F1502" s="1">
        <v>0.87019999999999997</v>
      </c>
      <c r="G1502" s="1">
        <v>5.7000000000000002E-3</v>
      </c>
      <c r="H1502" s="1">
        <v>0.1242</v>
      </c>
    </row>
    <row r="1503" spans="1:9" x14ac:dyDescent="0.25">
      <c r="A1503" t="s">
        <v>198</v>
      </c>
      <c r="B1503">
        <v>105</v>
      </c>
      <c r="C1503" t="s">
        <v>201</v>
      </c>
      <c r="D1503">
        <v>909</v>
      </c>
      <c r="E1503" s="1">
        <v>6.8999999999999999E-3</v>
      </c>
      <c r="F1503" s="1">
        <v>0.82679999999999998</v>
      </c>
      <c r="H1503" s="1">
        <v>0.1663</v>
      </c>
    </row>
    <row r="1504" spans="1:9" s="29" customFormat="1" x14ac:dyDescent="0.25">
      <c r="A1504" s="29" t="s">
        <v>198</v>
      </c>
      <c r="B1504" s="29">
        <v>16</v>
      </c>
      <c r="C1504" s="29" t="s">
        <v>202</v>
      </c>
      <c r="D1504" s="29">
        <v>909</v>
      </c>
      <c r="F1504" s="30">
        <v>0.83960000000000001</v>
      </c>
      <c r="H1504" s="30">
        <v>0.16039999999999999</v>
      </c>
    </row>
    <row r="1505" spans="1:9" x14ac:dyDescent="0.25">
      <c r="A1505" t="s">
        <v>203</v>
      </c>
      <c r="B1505">
        <v>228</v>
      </c>
      <c r="C1505" t="s">
        <v>199</v>
      </c>
      <c r="D1505">
        <v>909</v>
      </c>
      <c r="F1505" s="1">
        <v>0.96350000000000002</v>
      </c>
      <c r="H1505" s="1">
        <v>3.6499999999999998E-2</v>
      </c>
    </row>
    <row r="1506" spans="1:9" x14ac:dyDescent="0.25">
      <c r="A1506" t="s">
        <v>203</v>
      </c>
      <c r="B1506">
        <v>136</v>
      </c>
      <c r="C1506" t="s">
        <v>200</v>
      </c>
      <c r="D1506">
        <v>909</v>
      </c>
      <c r="F1506" s="1">
        <v>0.93210000000000004</v>
      </c>
      <c r="H1506" s="1">
        <v>6.7900000000000002E-2</v>
      </c>
    </row>
    <row r="1507" spans="1:9" x14ac:dyDescent="0.25">
      <c r="A1507" t="s">
        <v>203</v>
      </c>
      <c r="B1507">
        <v>119</v>
      </c>
      <c r="C1507" t="s">
        <v>201</v>
      </c>
      <c r="D1507">
        <v>909</v>
      </c>
      <c r="F1507" s="1">
        <v>0.90780000000000005</v>
      </c>
      <c r="H1507" s="1">
        <v>9.2200000000000004E-2</v>
      </c>
    </row>
    <row r="1508" spans="1:9" s="29" customFormat="1" x14ac:dyDescent="0.25">
      <c r="A1508" s="29" t="s">
        <v>203</v>
      </c>
      <c r="B1508" s="29">
        <v>5</v>
      </c>
      <c r="C1508" s="29" t="s">
        <v>202</v>
      </c>
      <c r="D1508" s="29">
        <v>909</v>
      </c>
      <c r="F1508" s="30">
        <v>1</v>
      </c>
    </row>
    <row r="1509" spans="1:9" x14ac:dyDescent="0.25">
      <c r="A1509" t="s">
        <v>204</v>
      </c>
      <c r="B1509">
        <v>909</v>
      </c>
      <c r="C1509" t="s">
        <v>204</v>
      </c>
      <c r="D1509">
        <v>909</v>
      </c>
      <c r="E1509" s="1">
        <v>5.3E-3</v>
      </c>
      <c r="F1509" s="1">
        <v>0.89700000000000002</v>
      </c>
      <c r="G1509" s="1">
        <v>1.5E-3</v>
      </c>
      <c r="H1509" s="1">
        <v>9.6199999999999994E-2</v>
      </c>
    </row>
    <row r="1511" spans="1:9" x14ac:dyDescent="0.25">
      <c r="A1511" t="s">
        <v>459</v>
      </c>
    </row>
    <row r="1512" spans="1:9" x14ac:dyDescent="0.25">
      <c r="A1512" t="s">
        <v>190</v>
      </c>
      <c r="B1512" t="s">
        <v>206</v>
      </c>
      <c r="C1512" t="s">
        <v>195</v>
      </c>
      <c r="D1512" t="s">
        <v>189</v>
      </c>
      <c r="E1512" t="s">
        <v>196</v>
      </c>
      <c r="F1512" t="s">
        <v>220</v>
      </c>
      <c r="G1512" t="s">
        <v>207</v>
      </c>
      <c r="H1512" t="s">
        <v>215</v>
      </c>
      <c r="I1512" t="s">
        <v>208</v>
      </c>
    </row>
    <row r="1513" spans="1:9" s="29" customFormat="1" x14ac:dyDescent="0.25">
      <c r="A1513" s="29" t="s">
        <v>198</v>
      </c>
      <c r="B1513" s="29" t="s">
        <v>228</v>
      </c>
      <c r="C1513" s="29">
        <v>8</v>
      </c>
      <c r="D1513" s="29" t="s">
        <v>197</v>
      </c>
      <c r="E1513" s="29">
        <v>909</v>
      </c>
      <c r="G1513" s="30">
        <v>1</v>
      </c>
    </row>
    <row r="1514" spans="1:9" s="29" customFormat="1" x14ac:dyDescent="0.25">
      <c r="A1514" s="29" t="s">
        <v>198</v>
      </c>
      <c r="B1514" s="29" t="s">
        <v>229</v>
      </c>
      <c r="C1514" s="29">
        <v>14</v>
      </c>
      <c r="D1514" s="29" t="s">
        <v>197</v>
      </c>
      <c r="E1514" s="29">
        <v>909</v>
      </c>
      <c r="F1514" s="30">
        <v>7.9699999999999993E-2</v>
      </c>
      <c r="G1514" s="30">
        <v>0.76100000000000001</v>
      </c>
      <c r="I1514" s="30">
        <v>0.15939999999999999</v>
      </c>
    </row>
    <row r="1515" spans="1:9" x14ac:dyDescent="0.25">
      <c r="A1515" t="s">
        <v>198</v>
      </c>
      <c r="B1515" t="s">
        <v>228</v>
      </c>
      <c r="C1515">
        <v>79</v>
      </c>
      <c r="D1515" t="s">
        <v>199</v>
      </c>
      <c r="E1515">
        <v>909</v>
      </c>
      <c r="F1515" s="1">
        <v>2.5700000000000001E-2</v>
      </c>
      <c r="G1515" s="1">
        <v>0.80549999999999999</v>
      </c>
      <c r="H1515" s="1">
        <v>1.35E-2</v>
      </c>
      <c r="I1515" s="1">
        <v>0.1552</v>
      </c>
    </row>
    <row r="1516" spans="1:9" x14ac:dyDescent="0.25">
      <c r="A1516" t="s">
        <v>198</v>
      </c>
      <c r="B1516" t="s">
        <v>229</v>
      </c>
      <c r="C1516">
        <v>75</v>
      </c>
      <c r="D1516" t="s">
        <v>199</v>
      </c>
      <c r="E1516">
        <v>909</v>
      </c>
      <c r="G1516" s="1">
        <v>0.85670000000000002</v>
      </c>
      <c r="I1516" s="1">
        <v>0.14330000000000001</v>
      </c>
    </row>
    <row r="1517" spans="1:9" x14ac:dyDescent="0.25">
      <c r="A1517" t="s">
        <v>198</v>
      </c>
      <c r="B1517" t="s">
        <v>229</v>
      </c>
      <c r="C1517">
        <v>88</v>
      </c>
      <c r="D1517" t="s">
        <v>200</v>
      </c>
      <c r="E1517">
        <v>909</v>
      </c>
      <c r="G1517" s="1">
        <v>0.86699999999999999</v>
      </c>
      <c r="H1517" s="1">
        <v>7.1000000000000004E-3</v>
      </c>
      <c r="I1517" s="1">
        <v>0.126</v>
      </c>
    </row>
    <row r="1518" spans="1:9" x14ac:dyDescent="0.25">
      <c r="A1518" t="s">
        <v>198</v>
      </c>
      <c r="B1518" t="s">
        <v>228</v>
      </c>
      <c r="C1518">
        <v>31</v>
      </c>
      <c r="D1518" t="s">
        <v>200</v>
      </c>
      <c r="E1518">
        <v>909</v>
      </c>
      <c r="G1518" s="1">
        <v>0.88439999999999996</v>
      </c>
      <c r="I1518" s="1">
        <v>0.11559999999999999</v>
      </c>
    </row>
    <row r="1519" spans="1:9" x14ac:dyDescent="0.25">
      <c r="A1519" t="s">
        <v>198</v>
      </c>
      <c r="B1519" t="s">
        <v>228</v>
      </c>
      <c r="C1519">
        <v>37</v>
      </c>
      <c r="D1519" t="s">
        <v>201</v>
      </c>
      <c r="E1519">
        <v>909</v>
      </c>
      <c r="G1519" s="1">
        <v>0.81720000000000004</v>
      </c>
      <c r="I1519" s="1">
        <v>0.18279999999999999</v>
      </c>
    </row>
    <row r="1520" spans="1:9" x14ac:dyDescent="0.25">
      <c r="A1520" t="s">
        <v>198</v>
      </c>
      <c r="B1520" t="s">
        <v>229</v>
      </c>
      <c r="C1520">
        <v>63</v>
      </c>
      <c r="D1520" t="s">
        <v>201</v>
      </c>
      <c r="E1520">
        <v>909</v>
      </c>
      <c r="F1520" s="1">
        <v>8.6999999999999994E-3</v>
      </c>
      <c r="G1520" s="1">
        <v>0.82569999999999999</v>
      </c>
      <c r="I1520" s="1">
        <v>0.16550000000000001</v>
      </c>
    </row>
    <row r="1521" spans="1:9" s="29" customFormat="1" x14ac:dyDescent="0.25">
      <c r="A1521" s="29" t="s">
        <v>198</v>
      </c>
      <c r="B1521" s="29" t="s">
        <v>228</v>
      </c>
      <c r="C1521" s="29">
        <v>7</v>
      </c>
      <c r="D1521" s="29" t="s">
        <v>202</v>
      </c>
      <c r="E1521" s="29">
        <v>909</v>
      </c>
      <c r="G1521" s="30">
        <v>0.76670000000000005</v>
      </c>
      <c r="I1521" s="30">
        <v>0.23330000000000001</v>
      </c>
    </row>
    <row r="1522" spans="1:9" s="29" customFormat="1" x14ac:dyDescent="0.25">
      <c r="A1522" s="29" t="s">
        <v>198</v>
      </c>
      <c r="B1522" s="29" t="s">
        <v>229</v>
      </c>
      <c r="C1522" s="29">
        <v>9</v>
      </c>
      <c r="D1522" s="29" t="s">
        <v>202</v>
      </c>
      <c r="E1522" s="29">
        <v>909</v>
      </c>
      <c r="G1522" s="30">
        <v>0.86109999999999998</v>
      </c>
      <c r="I1522" s="30">
        <v>0.1389</v>
      </c>
    </row>
    <row r="1523" spans="1:9" x14ac:dyDescent="0.25">
      <c r="A1523" t="s">
        <v>203</v>
      </c>
      <c r="B1523" t="s">
        <v>229</v>
      </c>
      <c r="C1523">
        <v>142</v>
      </c>
      <c r="D1523" t="s">
        <v>199</v>
      </c>
      <c r="E1523">
        <v>909</v>
      </c>
      <c r="G1523" s="1">
        <v>0.96879999999999999</v>
      </c>
      <c r="I1523" s="1">
        <v>3.1199999999999999E-2</v>
      </c>
    </row>
    <row r="1524" spans="1:9" x14ac:dyDescent="0.25">
      <c r="A1524" t="s">
        <v>203</v>
      </c>
      <c r="B1524" t="s">
        <v>228</v>
      </c>
      <c r="C1524">
        <v>83</v>
      </c>
      <c r="D1524" t="s">
        <v>199</v>
      </c>
      <c r="E1524">
        <v>909</v>
      </c>
      <c r="G1524" s="1">
        <v>0.92290000000000005</v>
      </c>
      <c r="I1524" s="1">
        <v>7.7100000000000002E-2</v>
      </c>
    </row>
    <row r="1525" spans="1:9" x14ac:dyDescent="0.25">
      <c r="A1525" t="s">
        <v>203</v>
      </c>
      <c r="B1525" t="s">
        <v>229</v>
      </c>
      <c r="C1525">
        <v>99</v>
      </c>
      <c r="D1525" t="s">
        <v>200</v>
      </c>
      <c r="E1525">
        <v>909</v>
      </c>
      <c r="G1525" s="1">
        <v>0.95720000000000005</v>
      </c>
      <c r="I1525" s="1">
        <v>4.2799999999999998E-2</v>
      </c>
    </row>
    <row r="1526" spans="1:9" x14ac:dyDescent="0.25">
      <c r="A1526" t="s">
        <v>203</v>
      </c>
      <c r="B1526" t="s">
        <v>228</v>
      </c>
      <c r="C1526">
        <v>36</v>
      </c>
      <c r="D1526" t="s">
        <v>200</v>
      </c>
      <c r="E1526">
        <v>909</v>
      </c>
      <c r="G1526" s="1">
        <v>0.82789999999999997</v>
      </c>
      <c r="I1526" s="1">
        <v>0.1721</v>
      </c>
    </row>
    <row r="1527" spans="1:9" x14ac:dyDescent="0.25">
      <c r="A1527" t="s">
        <v>203</v>
      </c>
      <c r="B1527" t="s">
        <v>229</v>
      </c>
      <c r="C1527">
        <v>53</v>
      </c>
      <c r="D1527" t="s">
        <v>201</v>
      </c>
      <c r="E1527">
        <v>909</v>
      </c>
      <c r="G1527" s="1">
        <v>0.90139999999999998</v>
      </c>
      <c r="I1527" s="1">
        <v>9.8599999999999993E-2</v>
      </c>
    </row>
    <row r="1528" spans="1:9" x14ac:dyDescent="0.25">
      <c r="A1528" t="s">
        <v>203</v>
      </c>
      <c r="B1528" t="s">
        <v>228</v>
      </c>
      <c r="C1528">
        <v>62</v>
      </c>
      <c r="D1528" t="s">
        <v>201</v>
      </c>
      <c r="E1528">
        <v>909</v>
      </c>
      <c r="G1528" s="1">
        <v>0.92500000000000004</v>
      </c>
      <c r="I1528" s="1">
        <v>7.4999999999999997E-2</v>
      </c>
    </row>
    <row r="1529" spans="1:9" s="29" customFormat="1" x14ac:dyDescent="0.25">
      <c r="A1529" s="29" t="s">
        <v>203</v>
      </c>
      <c r="B1529" s="29" t="s">
        <v>228</v>
      </c>
      <c r="C1529" s="29">
        <v>3</v>
      </c>
      <c r="D1529" s="29" t="s">
        <v>202</v>
      </c>
      <c r="E1529" s="29">
        <v>909</v>
      </c>
      <c r="G1529" s="30">
        <v>1</v>
      </c>
    </row>
    <row r="1530" spans="1:9" s="29" customFormat="1" x14ac:dyDescent="0.25">
      <c r="A1530" s="29" t="s">
        <v>203</v>
      </c>
      <c r="B1530" s="29" t="s">
        <v>229</v>
      </c>
      <c r="C1530" s="29">
        <v>2</v>
      </c>
      <c r="D1530" s="29" t="s">
        <v>202</v>
      </c>
      <c r="E1530" s="29">
        <v>909</v>
      </c>
      <c r="G1530" s="30">
        <v>1</v>
      </c>
    </row>
    <row r="1531" spans="1:9" x14ac:dyDescent="0.25">
      <c r="A1531" t="s">
        <v>204</v>
      </c>
      <c r="B1531" t="s">
        <v>204</v>
      </c>
      <c r="C1531">
        <v>909</v>
      </c>
      <c r="D1531" t="s">
        <v>204</v>
      </c>
      <c r="E1531">
        <v>909</v>
      </c>
      <c r="F1531" s="1">
        <v>5.3E-3</v>
      </c>
      <c r="G1531" s="1">
        <v>0.89700000000000002</v>
      </c>
      <c r="H1531" s="1">
        <v>1.5E-3</v>
      </c>
      <c r="I1531" s="1">
        <v>9.6199999999999994E-2</v>
      </c>
    </row>
    <row r="1533" spans="1:9" x14ac:dyDescent="0.25">
      <c r="A1533" t="s">
        <v>460</v>
      </c>
    </row>
    <row r="1534" spans="1:9" x14ac:dyDescent="0.25">
      <c r="A1534" t="s">
        <v>190</v>
      </c>
      <c r="B1534" t="s">
        <v>206</v>
      </c>
      <c r="C1534" t="s">
        <v>195</v>
      </c>
      <c r="D1534" t="s">
        <v>189</v>
      </c>
      <c r="E1534" t="s">
        <v>196</v>
      </c>
      <c r="F1534" t="s">
        <v>220</v>
      </c>
      <c r="G1534" t="s">
        <v>207</v>
      </c>
      <c r="H1534" t="s">
        <v>215</v>
      </c>
      <c r="I1534" t="s">
        <v>208</v>
      </c>
    </row>
    <row r="1535" spans="1:9" s="29" customFormat="1" x14ac:dyDescent="0.25">
      <c r="A1535" s="29" t="s">
        <v>198</v>
      </c>
      <c r="B1535" s="29" t="s">
        <v>348</v>
      </c>
      <c r="C1535" s="29">
        <v>20</v>
      </c>
      <c r="D1535" s="29" t="s">
        <v>197</v>
      </c>
      <c r="E1535" s="29">
        <v>909</v>
      </c>
      <c r="F1535" s="30">
        <v>5.5500000000000001E-2</v>
      </c>
      <c r="G1535" s="30">
        <v>0.83350000000000002</v>
      </c>
      <c r="I1535" s="30">
        <v>0.111</v>
      </c>
    </row>
    <row r="1536" spans="1:9" s="29" customFormat="1" x14ac:dyDescent="0.25">
      <c r="A1536" s="29" t="s">
        <v>198</v>
      </c>
      <c r="B1536" s="29" t="s">
        <v>349</v>
      </c>
      <c r="C1536" s="29">
        <v>2</v>
      </c>
      <c r="D1536" s="29" t="s">
        <v>197</v>
      </c>
      <c r="E1536" s="29">
        <v>909</v>
      </c>
      <c r="G1536" s="30">
        <v>1</v>
      </c>
    </row>
    <row r="1537" spans="1:9" s="29" customFormat="1" x14ac:dyDescent="0.25">
      <c r="A1537" s="29" t="s">
        <v>198</v>
      </c>
      <c r="B1537" s="29" t="s">
        <v>348</v>
      </c>
      <c r="C1537" s="29">
        <v>14</v>
      </c>
      <c r="D1537" s="29" t="s">
        <v>199</v>
      </c>
      <c r="E1537" s="29">
        <v>909</v>
      </c>
      <c r="G1537" s="30">
        <v>1</v>
      </c>
    </row>
    <row r="1538" spans="1:9" x14ac:dyDescent="0.25">
      <c r="A1538" t="s">
        <v>198</v>
      </c>
      <c r="B1538" t="s">
        <v>349</v>
      </c>
      <c r="C1538">
        <v>54</v>
      </c>
      <c r="D1538" t="s">
        <v>199</v>
      </c>
      <c r="E1538">
        <v>909</v>
      </c>
      <c r="G1538" s="1">
        <v>0.89870000000000005</v>
      </c>
      <c r="I1538" s="1">
        <v>0.1013</v>
      </c>
    </row>
    <row r="1539" spans="1:9" x14ac:dyDescent="0.25">
      <c r="A1539" t="s">
        <v>198</v>
      </c>
      <c r="B1539" t="s">
        <v>350</v>
      </c>
      <c r="C1539">
        <v>86</v>
      </c>
      <c r="D1539" t="s">
        <v>199</v>
      </c>
      <c r="E1539">
        <v>909</v>
      </c>
      <c r="F1539" s="1">
        <v>2.1399999999999999E-2</v>
      </c>
      <c r="G1539" s="1">
        <v>0.751</v>
      </c>
      <c r="H1539" s="1">
        <v>1.12E-2</v>
      </c>
      <c r="I1539" s="1">
        <v>0.21629999999999999</v>
      </c>
    </row>
    <row r="1540" spans="1:9" x14ac:dyDescent="0.25">
      <c r="A1540" t="s">
        <v>198</v>
      </c>
      <c r="B1540" t="s">
        <v>350</v>
      </c>
      <c r="C1540">
        <v>30</v>
      </c>
      <c r="D1540" t="s">
        <v>200</v>
      </c>
      <c r="E1540">
        <v>909</v>
      </c>
      <c r="G1540" s="1">
        <v>0.80410000000000004</v>
      </c>
      <c r="I1540" s="1">
        <v>0.19589999999999999</v>
      </c>
    </row>
    <row r="1541" spans="1:9" x14ac:dyDescent="0.25">
      <c r="A1541" t="s">
        <v>198</v>
      </c>
      <c r="B1541" t="s">
        <v>348</v>
      </c>
      <c r="C1541">
        <v>65</v>
      </c>
      <c r="D1541" t="s">
        <v>200</v>
      </c>
      <c r="E1541">
        <v>909</v>
      </c>
      <c r="G1541" s="1">
        <v>0.87729999999999997</v>
      </c>
      <c r="H1541" s="1">
        <v>7.0000000000000001E-3</v>
      </c>
      <c r="I1541" s="1">
        <v>0.11559999999999999</v>
      </c>
    </row>
    <row r="1542" spans="1:9" s="29" customFormat="1" x14ac:dyDescent="0.25">
      <c r="A1542" s="29" t="s">
        <v>198</v>
      </c>
      <c r="B1542" s="29" t="s">
        <v>349</v>
      </c>
      <c r="C1542" s="29">
        <v>24</v>
      </c>
      <c r="D1542" s="29" t="s">
        <v>200</v>
      </c>
      <c r="E1542" s="29">
        <v>909</v>
      </c>
      <c r="G1542" s="30">
        <v>0.91839999999999999</v>
      </c>
      <c r="I1542" s="30">
        <v>8.1600000000000006E-2</v>
      </c>
    </row>
    <row r="1543" spans="1:9" x14ac:dyDescent="0.25">
      <c r="A1543" t="s">
        <v>198</v>
      </c>
      <c r="B1543" t="s">
        <v>349</v>
      </c>
      <c r="C1543">
        <v>55</v>
      </c>
      <c r="D1543" t="s">
        <v>201</v>
      </c>
      <c r="E1543">
        <v>909</v>
      </c>
      <c r="G1543" s="1">
        <v>0.84250000000000003</v>
      </c>
      <c r="I1543" s="1">
        <v>0.1575</v>
      </c>
    </row>
    <row r="1544" spans="1:9" s="29" customFormat="1" x14ac:dyDescent="0.25">
      <c r="A1544" s="29" t="s">
        <v>198</v>
      </c>
      <c r="B1544" s="29" t="s">
        <v>350</v>
      </c>
      <c r="C1544" s="29">
        <v>22</v>
      </c>
      <c r="D1544" s="29" t="s">
        <v>201</v>
      </c>
      <c r="E1544" s="29">
        <v>909</v>
      </c>
      <c r="G1544" s="30">
        <v>0.64729999999999999</v>
      </c>
      <c r="I1544" s="30">
        <v>0.35270000000000001</v>
      </c>
    </row>
    <row r="1545" spans="1:9" s="29" customFormat="1" x14ac:dyDescent="0.25">
      <c r="A1545" s="29" t="s">
        <v>198</v>
      </c>
      <c r="B1545" s="29" t="s">
        <v>348</v>
      </c>
      <c r="C1545" s="29">
        <v>23</v>
      </c>
      <c r="D1545" s="29" t="s">
        <v>201</v>
      </c>
      <c r="E1545" s="29">
        <v>909</v>
      </c>
      <c r="F1545" s="30">
        <v>3.4599999999999999E-2</v>
      </c>
      <c r="G1545" s="30">
        <v>0.78290000000000004</v>
      </c>
      <c r="I1545" s="30">
        <v>0.1825</v>
      </c>
    </row>
    <row r="1546" spans="1:9" s="29" customFormat="1" x14ac:dyDescent="0.25">
      <c r="A1546" s="29" t="s">
        <v>198</v>
      </c>
      <c r="B1546" s="29" t="s">
        <v>348</v>
      </c>
      <c r="C1546" s="29">
        <v>16</v>
      </c>
      <c r="D1546" s="29" t="s">
        <v>202</v>
      </c>
      <c r="E1546" s="29">
        <v>909</v>
      </c>
      <c r="G1546" s="30">
        <v>0.83960000000000001</v>
      </c>
      <c r="I1546" s="30">
        <v>0.16039999999999999</v>
      </c>
    </row>
    <row r="1547" spans="1:9" x14ac:dyDescent="0.25">
      <c r="A1547" t="s">
        <v>203</v>
      </c>
      <c r="B1547" t="s">
        <v>349</v>
      </c>
      <c r="C1547">
        <v>71</v>
      </c>
      <c r="D1547" t="s">
        <v>199</v>
      </c>
      <c r="E1547">
        <v>909</v>
      </c>
      <c r="G1547" s="1">
        <v>0.95189999999999997</v>
      </c>
      <c r="I1547" s="1">
        <v>4.8099999999999997E-2</v>
      </c>
    </row>
    <row r="1548" spans="1:9" s="29" customFormat="1" x14ac:dyDescent="0.25">
      <c r="A1548" s="29" t="s">
        <v>203</v>
      </c>
      <c r="B1548" s="29" t="s">
        <v>348</v>
      </c>
      <c r="C1548" s="29">
        <v>11</v>
      </c>
      <c r="D1548" s="29" t="s">
        <v>199</v>
      </c>
      <c r="E1548" s="29">
        <v>909</v>
      </c>
      <c r="G1548" s="30">
        <v>1</v>
      </c>
    </row>
    <row r="1549" spans="1:9" x14ac:dyDescent="0.25">
      <c r="A1549" t="s">
        <v>203</v>
      </c>
      <c r="B1549" t="s">
        <v>350</v>
      </c>
      <c r="C1549">
        <v>143</v>
      </c>
      <c r="D1549" t="s">
        <v>199</v>
      </c>
      <c r="E1549">
        <v>909</v>
      </c>
      <c r="G1549" s="1">
        <v>0.96930000000000005</v>
      </c>
      <c r="I1549" s="1">
        <v>3.0700000000000002E-2</v>
      </c>
    </row>
    <row r="1550" spans="1:9" x14ac:dyDescent="0.25">
      <c r="A1550" t="s">
        <v>203</v>
      </c>
      <c r="B1550" t="s">
        <v>348</v>
      </c>
      <c r="C1550">
        <v>57</v>
      </c>
      <c r="D1550" t="s">
        <v>200</v>
      </c>
      <c r="E1550">
        <v>909</v>
      </c>
      <c r="G1550" s="1">
        <v>0.94340000000000002</v>
      </c>
      <c r="I1550" s="1">
        <v>5.6599999999999998E-2</v>
      </c>
    </row>
    <row r="1551" spans="1:9" x14ac:dyDescent="0.25">
      <c r="A1551" t="s">
        <v>203</v>
      </c>
      <c r="B1551" t="s">
        <v>349</v>
      </c>
      <c r="C1551">
        <v>30</v>
      </c>
      <c r="D1551" t="s">
        <v>200</v>
      </c>
      <c r="E1551">
        <v>909</v>
      </c>
      <c r="G1551" s="1">
        <v>0.86180000000000001</v>
      </c>
      <c r="I1551" s="1">
        <v>0.13819999999999999</v>
      </c>
    </row>
    <row r="1552" spans="1:9" x14ac:dyDescent="0.25">
      <c r="A1552" t="s">
        <v>203</v>
      </c>
      <c r="B1552" t="s">
        <v>350</v>
      </c>
      <c r="C1552">
        <v>48</v>
      </c>
      <c r="D1552" t="s">
        <v>200</v>
      </c>
      <c r="E1552">
        <v>909</v>
      </c>
      <c r="G1552" s="1">
        <v>0.88229999999999997</v>
      </c>
      <c r="I1552" s="1">
        <v>0.1177</v>
      </c>
    </row>
    <row r="1553" spans="1:9" s="29" customFormat="1" x14ac:dyDescent="0.25">
      <c r="A1553" s="29" t="s">
        <v>203</v>
      </c>
      <c r="B1553" s="29" t="s">
        <v>348</v>
      </c>
      <c r="C1553" s="29">
        <v>16</v>
      </c>
      <c r="D1553" s="29" t="s">
        <v>201</v>
      </c>
      <c r="E1553" s="29">
        <v>909</v>
      </c>
      <c r="G1553" s="30">
        <v>0.9446</v>
      </c>
      <c r="I1553" s="30">
        <v>5.5399999999999998E-2</v>
      </c>
    </row>
    <row r="1554" spans="1:9" x14ac:dyDescent="0.25">
      <c r="A1554" t="s">
        <v>203</v>
      </c>
      <c r="B1554" t="s">
        <v>349</v>
      </c>
      <c r="C1554">
        <v>55</v>
      </c>
      <c r="D1554" t="s">
        <v>201</v>
      </c>
      <c r="E1554">
        <v>909</v>
      </c>
      <c r="G1554" s="1">
        <v>0.90010000000000001</v>
      </c>
      <c r="I1554" s="1">
        <v>9.9900000000000003E-2</v>
      </c>
    </row>
    <row r="1555" spans="1:9" x14ac:dyDescent="0.25">
      <c r="A1555" t="s">
        <v>203</v>
      </c>
      <c r="B1555" t="s">
        <v>350</v>
      </c>
      <c r="C1555">
        <v>44</v>
      </c>
      <c r="D1555" t="s">
        <v>201</v>
      </c>
      <c r="E1555">
        <v>909</v>
      </c>
      <c r="G1555" s="1">
        <v>0.93659999999999999</v>
      </c>
      <c r="I1555" s="1">
        <v>6.3399999999999998E-2</v>
      </c>
    </row>
    <row r="1556" spans="1:9" s="29" customFormat="1" x14ac:dyDescent="0.25">
      <c r="A1556" s="29" t="s">
        <v>203</v>
      </c>
      <c r="B1556" s="29" t="s">
        <v>348</v>
      </c>
      <c r="C1556" s="29">
        <v>5</v>
      </c>
      <c r="D1556" s="29" t="s">
        <v>202</v>
      </c>
      <c r="E1556" s="29">
        <v>909</v>
      </c>
      <c r="G1556" s="30">
        <v>1</v>
      </c>
    </row>
    <row r="1557" spans="1:9" x14ac:dyDescent="0.25">
      <c r="A1557" t="s">
        <v>204</v>
      </c>
      <c r="B1557" t="s">
        <v>204</v>
      </c>
      <c r="C1557">
        <v>909</v>
      </c>
      <c r="D1557" t="s">
        <v>204</v>
      </c>
      <c r="E1557">
        <v>909</v>
      </c>
      <c r="F1557" s="1">
        <v>5.3E-3</v>
      </c>
      <c r="G1557" s="1">
        <v>0.89700000000000002</v>
      </c>
      <c r="H1557" s="1">
        <v>1.5E-3</v>
      </c>
      <c r="I1557" s="1">
        <v>9.6199999999999994E-2</v>
      </c>
    </row>
    <row r="1559" spans="1:9" x14ac:dyDescent="0.25">
      <c r="A1559" t="s">
        <v>461</v>
      </c>
    </row>
    <row r="1560" spans="1:9" x14ac:dyDescent="0.25">
      <c r="A1560" t="s">
        <v>190</v>
      </c>
      <c r="B1560" t="s">
        <v>195</v>
      </c>
      <c r="C1560" t="s">
        <v>189</v>
      </c>
      <c r="D1560" t="s">
        <v>196</v>
      </c>
      <c r="E1560" t="s">
        <v>220</v>
      </c>
      <c r="F1560" t="s">
        <v>207</v>
      </c>
      <c r="G1560" t="s">
        <v>208</v>
      </c>
    </row>
    <row r="1561" spans="1:9" s="29" customFormat="1" x14ac:dyDescent="0.25">
      <c r="A1561" s="29" t="s">
        <v>198</v>
      </c>
      <c r="B1561" s="29">
        <v>28</v>
      </c>
      <c r="C1561" s="29" t="s">
        <v>197</v>
      </c>
      <c r="D1561" s="29">
        <v>1174</v>
      </c>
      <c r="F1561" s="30">
        <v>0.72099999999999997</v>
      </c>
      <c r="G1561" s="30">
        <v>0.27900000000000003</v>
      </c>
    </row>
    <row r="1562" spans="1:9" x14ac:dyDescent="0.25">
      <c r="A1562" t="s">
        <v>198</v>
      </c>
      <c r="B1562">
        <v>160</v>
      </c>
      <c r="C1562" t="s">
        <v>199</v>
      </c>
      <c r="D1562">
        <v>1174</v>
      </c>
      <c r="E1562" s="1">
        <v>1.3100000000000001E-2</v>
      </c>
      <c r="F1562" s="1">
        <v>0.49030000000000001</v>
      </c>
      <c r="G1562" s="1">
        <v>0.49669999999999997</v>
      </c>
    </row>
    <row r="1563" spans="1:9" x14ac:dyDescent="0.25">
      <c r="A1563" t="s">
        <v>198</v>
      </c>
      <c r="B1563">
        <v>186</v>
      </c>
      <c r="C1563" t="s">
        <v>200</v>
      </c>
      <c r="D1563">
        <v>1174</v>
      </c>
      <c r="E1563" s="1">
        <v>2.75E-2</v>
      </c>
      <c r="F1563" s="1">
        <v>0.59930000000000005</v>
      </c>
      <c r="G1563" s="1">
        <v>0.37319999999999998</v>
      </c>
    </row>
    <row r="1564" spans="1:9" x14ac:dyDescent="0.25">
      <c r="A1564" t="s">
        <v>198</v>
      </c>
      <c r="B1564">
        <v>128</v>
      </c>
      <c r="C1564" t="s">
        <v>201</v>
      </c>
      <c r="D1564">
        <v>1174</v>
      </c>
      <c r="E1564" s="1">
        <v>4.5999999999999999E-3</v>
      </c>
      <c r="F1564" s="1">
        <v>0.45979999999999999</v>
      </c>
      <c r="G1564" s="1">
        <v>0.53569999999999995</v>
      </c>
    </row>
    <row r="1565" spans="1:9" x14ac:dyDescent="0.25">
      <c r="A1565" t="s">
        <v>198</v>
      </c>
      <c r="B1565">
        <v>33</v>
      </c>
      <c r="C1565" t="s">
        <v>202</v>
      </c>
      <c r="D1565">
        <v>1174</v>
      </c>
      <c r="F1565" s="1">
        <v>0.79530000000000001</v>
      </c>
      <c r="G1565" s="1">
        <v>0.20469999999999999</v>
      </c>
    </row>
    <row r="1566" spans="1:9" x14ac:dyDescent="0.25">
      <c r="A1566" t="s">
        <v>203</v>
      </c>
      <c r="B1566">
        <v>237</v>
      </c>
      <c r="C1566" t="s">
        <v>199</v>
      </c>
      <c r="D1566">
        <v>1174</v>
      </c>
      <c r="F1566" s="1">
        <v>0.4914</v>
      </c>
      <c r="G1566" s="1">
        <v>0.50860000000000005</v>
      </c>
    </row>
    <row r="1567" spans="1:9" x14ac:dyDescent="0.25">
      <c r="A1567" t="s">
        <v>203</v>
      </c>
      <c r="B1567">
        <v>219</v>
      </c>
      <c r="C1567" t="s">
        <v>200</v>
      </c>
      <c r="D1567">
        <v>1174</v>
      </c>
      <c r="F1567" s="1">
        <v>0.63319999999999999</v>
      </c>
      <c r="G1567" s="1">
        <v>0.36680000000000001</v>
      </c>
    </row>
    <row r="1568" spans="1:9" x14ac:dyDescent="0.25">
      <c r="A1568" t="s">
        <v>203</v>
      </c>
      <c r="B1568">
        <v>138</v>
      </c>
      <c r="C1568" t="s">
        <v>201</v>
      </c>
      <c r="D1568">
        <v>1174</v>
      </c>
      <c r="E1568" s="1">
        <v>2.1700000000000001E-2</v>
      </c>
      <c r="F1568" s="1">
        <v>0.55640000000000001</v>
      </c>
      <c r="G1568" s="1">
        <v>0.4219</v>
      </c>
    </row>
    <row r="1569" spans="1:8" x14ac:dyDescent="0.25">
      <c r="A1569" t="s">
        <v>203</v>
      </c>
      <c r="B1569">
        <v>45</v>
      </c>
      <c r="C1569" t="s">
        <v>202</v>
      </c>
      <c r="D1569">
        <v>1174</v>
      </c>
      <c r="E1569" s="1">
        <v>4.07E-2</v>
      </c>
      <c r="F1569" s="1">
        <v>0.85370000000000001</v>
      </c>
      <c r="G1569" s="1">
        <v>0.1055</v>
      </c>
    </row>
    <row r="1570" spans="1:8" x14ac:dyDescent="0.25">
      <c r="A1570" t="s">
        <v>204</v>
      </c>
      <c r="B1570">
        <v>1174</v>
      </c>
      <c r="C1570" t="s">
        <v>204</v>
      </c>
      <c r="D1570">
        <v>1174</v>
      </c>
      <c r="E1570" s="1">
        <v>9.2999999999999992E-3</v>
      </c>
      <c r="F1570" s="1">
        <v>0.6139</v>
      </c>
      <c r="G1570" s="1">
        <v>0.37680000000000002</v>
      </c>
    </row>
    <row r="1572" spans="1:8" x14ac:dyDescent="0.25">
      <c r="A1572" t="s">
        <v>462</v>
      </c>
    </row>
    <row r="1573" spans="1:8" x14ac:dyDescent="0.25">
      <c r="A1573" t="s">
        <v>190</v>
      </c>
      <c r="B1573" t="s">
        <v>206</v>
      </c>
      <c r="C1573" t="s">
        <v>195</v>
      </c>
      <c r="D1573" t="s">
        <v>189</v>
      </c>
      <c r="E1573" t="s">
        <v>196</v>
      </c>
      <c r="F1573" t="s">
        <v>220</v>
      </c>
      <c r="G1573" t="s">
        <v>207</v>
      </c>
      <c r="H1573" t="s">
        <v>208</v>
      </c>
    </row>
    <row r="1574" spans="1:8" s="29" customFormat="1" x14ac:dyDescent="0.25">
      <c r="A1574" s="29" t="s">
        <v>198</v>
      </c>
      <c r="B1574" s="29" t="s">
        <v>228</v>
      </c>
      <c r="C1574" s="29">
        <v>12</v>
      </c>
      <c r="D1574" s="29" t="s">
        <v>197</v>
      </c>
      <c r="E1574" s="29">
        <v>1174</v>
      </c>
      <c r="G1574" s="30">
        <v>0.81130000000000002</v>
      </c>
      <c r="H1574" s="30">
        <v>0.18870000000000001</v>
      </c>
    </row>
    <row r="1575" spans="1:8" s="29" customFormat="1" x14ac:dyDescent="0.25">
      <c r="A1575" s="29" t="s">
        <v>198</v>
      </c>
      <c r="B1575" s="29" t="s">
        <v>229</v>
      </c>
      <c r="C1575" s="29">
        <v>16</v>
      </c>
      <c r="D1575" s="29" t="s">
        <v>197</v>
      </c>
      <c r="E1575" s="29">
        <v>1174</v>
      </c>
      <c r="G1575" s="30">
        <v>0.65910000000000002</v>
      </c>
      <c r="H1575" s="30">
        <v>0.34089999999999998</v>
      </c>
    </row>
    <row r="1576" spans="1:8" x14ac:dyDescent="0.25">
      <c r="A1576" t="s">
        <v>198</v>
      </c>
      <c r="B1576" t="s">
        <v>228</v>
      </c>
      <c r="C1576">
        <v>79</v>
      </c>
      <c r="D1576" t="s">
        <v>199</v>
      </c>
      <c r="E1576">
        <v>1174</v>
      </c>
      <c r="F1576" s="1">
        <v>1.55E-2</v>
      </c>
      <c r="G1576" s="1">
        <v>0.27760000000000001</v>
      </c>
      <c r="H1576" s="1">
        <v>0.70679999999999998</v>
      </c>
    </row>
    <row r="1577" spans="1:8" x14ac:dyDescent="0.25">
      <c r="A1577" t="s">
        <v>198</v>
      </c>
      <c r="B1577" t="s">
        <v>229</v>
      </c>
      <c r="C1577">
        <v>78</v>
      </c>
      <c r="D1577" t="s">
        <v>199</v>
      </c>
      <c r="E1577">
        <v>1174</v>
      </c>
      <c r="F1577" s="1">
        <v>1.1900000000000001E-2</v>
      </c>
      <c r="G1577" s="1">
        <v>0.60360000000000003</v>
      </c>
      <c r="H1577" s="1">
        <v>0.38450000000000001</v>
      </c>
    </row>
    <row r="1578" spans="1:8" x14ac:dyDescent="0.25">
      <c r="A1578" t="s">
        <v>198</v>
      </c>
      <c r="B1578" t="s">
        <v>229</v>
      </c>
      <c r="C1578">
        <v>141</v>
      </c>
      <c r="D1578" t="s">
        <v>200</v>
      </c>
      <c r="E1578">
        <v>1174</v>
      </c>
      <c r="F1578" s="1">
        <v>3.3399999999999999E-2</v>
      </c>
      <c r="G1578" s="1">
        <v>0.57530000000000003</v>
      </c>
      <c r="H1578" s="1">
        <v>0.39140000000000003</v>
      </c>
    </row>
    <row r="1579" spans="1:8" x14ac:dyDescent="0.25">
      <c r="A1579" t="s">
        <v>198</v>
      </c>
      <c r="B1579" t="s">
        <v>228</v>
      </c>
      <c r="C1579">
        <v>42</v>
      </c>
      <c r="D1579" t="s">
        <v>200</v>
      </c>
      <c r="E1579">
        <v>1174</v>
      </c>
      <c r="G1579" s="1">
        <v>0.72940000000000005</v>
      </c>
      <c r="H1579" s="1">
        <v>0.27060000000000001</v>
      </c>
    </row>
    <row r="1580" spans="1:8" x14ac:dyDescent="0.25">
      <c r="A1580" t="s">
        <v>198</v>
      </c>
      <c r="B1580" t="s">
        <v>228</v>
      </c>
      <c r="C1580">
        <v>47</v>
      </c>
      <c r="D1580" t="s">
        <v>201</v>
      </c>
      <c r="E1580">
        <v>1174</v>
      </c>
      <c r="F1580" s="1">
        <v>1.1599999999999999E-2</v>
      </c>
      <c r="G1580" s="1">
        <v>0.66279999999999994</v>
      </c>
      <c r="H1580" s="1">
        <v>0.32569999999999999</v>
      </c>
    </row>
    <row r="1581" spans="1:8" x14ac:dyDescent="0.25">
      <c r="A1581" t="s">
        <v>198</v>
      </c>
      <c r="B1581" t="s">
        <v>229</v>
      </c>
      <c r="C1581">
        <v>76</v>
      </c>
      <c r="D1581" t="s">
        <v>201</v>
      </c>
      <c r="E1581">
        <v>1174</v>
      </c>
      <c r="F1581" s="1">
        <v>2.8999999999999998E-3</v>
      </c>
      <c r="G1581" s="1">
        <v>0.39689999999999998</v>
      </c>
      <c r="H1581" s="1">
        <v>0.60009999999999997</v>
      </c>
    </row>
    <row r="1582" spans="1:8" s="29" customFormat="1" x14ac:dyDescent="0.25">
      <c r="A1582" s="29" t="s">
        <v>198</v>
      </c>
      <c r="B1582" s="29" t="s">
        <v>229</v>
      </c>
      <c r="C1582" s="29">
        <v>19</v>
      </c>
      <c r="D1582" s="29" t="s">
        <v>202</v>
      </c>
      <c r="E1582" s="29">
        <v>1174</v>
      </c>
      <c r="G1582" s="30">
        <v>0.82809999999999995</v>
      </c>
      <c r="H1582" s="30">
        <v>0.1719</v>
      </c>
    </row>
    <row r="1583" spans="1:8" s="29" customFormat="1" x14ac:dyDescent="0.25">
      <c r="A1583" s="29" t="s">
        <v>198</v>
      </c>
      <c r="B1583" s="29" t="s">
        <v>228</v>
      </c>
      <c r="C1583" s="29">
        <v>14</v>
      </c>
      <c r="D1583" s="29" t="s">
        <v>202</v>
      </c>
      <c r="E1583" s="29">
        <v>1174</v>
      </c>
      <c r="G1583" s="30">
        <v>0.71</v>
      </c>
      <c r="H1583" s="30">
        <v>0.28999999999999998</v>
      </c>
    </row>
    <row r="1584" spans="1:8" x14ac:dyDescent="0.25">
      <c r="A1584" t="s">
        <v>203</v>
      </c>
      <c r="B1584" t="s">
        <v>228</v>
      </c>
      <c r="C1584">
        <v>83</v>
      </c>
      <c r="D1584" t="s">
        <v>199</v>
      </c>
      <c r="E1584">
        <v>1174</v>
      </c>
      <c r="G1584" s="1">
        <v>0.33210000000000001</v>
      </c>
      <c r="H1584" s="1">
        <v>0.66790000000000005</v>
      </c>
    </row>
    <row r="1585" spans="1:8" x14ac:dyDescent="0.25">
      <c r="A1585" t="s">
        <v>203</v>
      </c>
      <c r="B1585" t="s">
        <v>229</v>
      </c>
      <c r="C1585">
        <v>151</v>
      </c>
      <c r="D1585" t="s">
        <v>199</v>
      </c>
      <c r="E1585">
        <v>1174</v>
      </c>
      <c r="G1585" s="1">
        <v>0.51180000000000003</v>
      </c>
      <c r="H1585" s="1">
        <v>0.48820000000000002</v>
      </c>
    </row>
    <row r="1586" spans="1:8" x14ac:dyDescent="0.25">
      <c r="A1586" t="s">
        <v>203</v>
      </c>
      <c r="B1586" t="s">
        <v>229</v>
      </c>
      <c r="C1586">
        <v>150</v>
      </c>
      <c r="D1586" t="s">
        <v>200</v>
      </c>
      <c r="E1586">
        <v>1174</v>
      </c>
      <c r="G1586" s="1">
        <v>0.67200000000000004</v>
      </c>
      <c r="H1586" s="1">
        <v>0.32800000000000001</v>
      </c>
    </row>
    <row r="1587" spans="1:8" x14ac:dyDescent="0.25">
      <c r="A1587" t="s">
        <v>203</v>
      </c>
      <c r="B1587" t="s">
        <v>228</v>
      </c>
      <c r="C1587">
        <v>68</v>
      </c>
      <c r="D1587" t="s">
        <v>200</v>
      </c>
      <c r="E1587">
        <v>1174</v>
      </c>
      <c r="G1587" s="1">
        <v>0.49320000000000003</v>
      </c>
      <c r="H1587" s="1">
        <v>0.50680000000000003</v>
      </c>
    </row>
    <row r="1588" spans="1:8" x14ac:dyDescent="0.25">
      <c r="A1588" t="s">
        <v>203</v>
      </c>
      <c r="B1588" t="s">
        <v>228</v>
      </c>
      <c r="C1588">
        <v>72</v>
      </c>
      <c r="D1588" t="s">
        <v>201</v>
      </c>
      <c r="E1588">
        <v>1174</v>
      </c>
      <c r="G1588" s="1">
        <v>0.85189999999999999</v>
      </c>
      <c r="H1588" s="1">
        <v>0.14810000000000001</v>
      </c>
    </row>
    <row r="1589" spans="1:8" x14ac:dyDescent="0.25">
      <c r="A1589" t="s">
        <v>203</v>
      </c>
      <c r="B1589" t="s">
        <v>229</v>
      </c>
      <c r="C1589">
        <v>62</v>
      </c>
      <c r="D1589" t="s">
        <v>201</v>
      </c>
      <c r="E1589">
        <v>1174</v>
      </c>
      <c r="F1589" s="1">
        <v>2.87E-2</v>
      </c>
      <c r="G1589" s="1">
        <v>0.46260000000000001</v>
      </c>
      <c r="H1589" s="1">
        <v>0.50870000000000004</v>
      </c>
    </row>
    <row r="1590" spans="1:8" s="29" customFormat="1" x14ac:dyDescent="0.25">
      <c r="A1590" s="29" t="s">
        <v>203</v>
      </c>
      <c r="B1590" s="29" t="s">
        <v>228</v>
      </c>
      <c r="C1590" s="29">
        <v>24</v>
      </c>
      <c r="D1590" s="29" t="s">
        <v>202</v>
      </c>
      <c r="E1590" s="29">
        <v>1174</v>
      </c>
      <c r="G1590" s="30">
        <v>0.81110000000000004</v>
      </c>
      <c r="H1590" s="30">
        <v>0.18890000000000001</v>
      </c>
    </row>
    <row r="1591" spans="1:8" s="29" customFormat="1" x14ac:dyDescent="0.25">
      <c r="A1591" s="29" t="s">
        <v>203</v>
      </c>
      <c r="B1591" s="29" t="s">
        <v>229</v>
      </c>
      <c r="C1591" s="29">
        <v>21</v>
      </c>
      <c r="D1591" s="29" t="s">
        <v>202</v>
      </c>
      <c r="E1591" s="29">
        <v>1174</v>
      </c>
      <c r="F1591" s="30">
        <v>6.6500000000000004E-2</v>
      </c>
      <c r="G1591" s="30">
        <v>0.88070000000000004</v>
      </c>
      <c r="H1591" s="30">
        <v>5.2900000000000003E-2</v>
      </c>
    </row>
    <row r="1592" spans="1:8" x14ac:dyDescent="0.25">
      <c r="A1592" t="s">
        <v>204</v>
      </c>
      <c r="B1592" t="s">
        <v>204</v>
      </c>
      <c r="C1592">
        <v>1174</v>
      </c>
      <c r="D1592" t="s">
        <v>204</v>
      </c>
      <c r="E1592">
        <v>1174</v>
      </c>
      <c r="F1592" s="1">
        <v>9.2999999999999992E-3</v>
      </c>
      <c r="G1592" s="1">
        <v>0.6139</v>
      </c>
      <c r="H1592" s="1">
        <v>0.37680000000000002</v>
      </c>
    </row>
    <row r="1594" spans="1:8" x14ac:dyDescent="0.25">
      <c r="A1594" t="s">
        <v>463</v>
      </c>
    </row>
    <row r="1595" spans="1:8" x14ac:dyDescent="0.25">
      <c r="A1595" t="s">
        <v>190</v>
      </c>
      <c r="B1595" t="s">
        <v>206</v>
      </c>
      <c r="C1595" t="s">
        <v>195</v>
      </c>
      <c r="D1595" t="s">
        <v>189</v>
      </c>
      <c r="E1595" t="s">
        <v>196</v>
      </c>
      <c r="F1595" t="s">
        <v>220</v>
      </c>
      <c r="G1595" t="s">
        <v>207</v>
      </c>
      <c r="H1595" t="s">
        <v>208</v>
      </c>
    </row>
    <row r="1596" spans="1:8" s="29" customFormat="1" x14ac:dyDescent="0.25">
      <c r="A1596" s="29" t="s">
        <v>198</v>
      </c>
      <c r="B1596" s="29" t="s">
        <v>348</v>
      </c>
      <c r="C1596" s="29">
        <v>26</v>
      </c>
      <c r="D1596" s="29" t="s">
        <v>197</v>
      </c>
      <c r="E1596" s="29">
        <v>1174</v>
      </c>
      <c r="G1596" s="30">
        <v>0.73640000000000005</v>
      </c>
      <c r="H1596" s="30">
        <v>0.2636</v>
      </c>
    </row>
    <row r="1597" spans="1:8" s="29" customFormat="1" x14ac:dyDescent="0.25">
      <c r="A1597" s="29" t="s">
        <v>198</v>
      </c>
      <c r="B1597" s="29" t="s">
        <v>349</v>
      </c>
      <c r="C1597" s="29">
        <v>2</v>
      </c>
      <c r="D1597" s="29" t="s">
        <v>197</v>
      </c>
      <c r="E1597" s="29">
        <v>1174</v>
      </c>
      <c r="G1597" s="30">
        <v>0.5</v>
      </c>
      <c r="H1597" s="30">
        <v>0.5</v>
      </c>
    </row>
    <row r="1598" spans="1:8" s="29" customFormat="1" x14ac:dyDescent="0.25">
      <c r="A1598" s="29" t="s">
        <v>198</v>
      </c>
      <c r="B1598" s="29" t="s">
        <v>348</v>
      </c>
      <c r="C1598" s="29">
        <v>14</v>
      </c>
      <c r="D1598" s="29" t="s">
        <v>199</v>
      </c>
      <c r="E1598" s="29">
        <v>1174</v>
      </c>
      <c r="F1598" s="30">
        <v>1.8700000000000001E-2</v>
      </c>
      <c r="G1598" s="30">
        <v>0.3705</v>
      </c>
      <c r="H1598" s="30">
        <v>0.61070000000000002</v>
      </c>
    </row>
    <row r="1599" spans="1:8" x14ac:dyDescent="0.25">
      <c r="A1599" t="s">
        <v>198</v>
      </c>
      <c r="B1599" t="s">
        <v>349</v>
      </c>
      <c r="C1599">
        <v>55</v>
      </c>
      <c r="D1599" t="s">
        <v>199</v>
      </c>
      <c r="E1599">
        <v>1174</v>
      </c>
      <c r="F1599" s="1">
        <v>1.55E-2</v>
      </c>
      <c r="G1599" s="1">
        <v>0.67449999999999999</v>
      </c>
      <c r="H1599" s="1">
        <v>0.31</v>
      </c>
    </row>
    <row r="1600" spans="1:8" x14ac:dyDescent="0.25">
      <c r="A1600" t="s">
        <v>198</v>
      </c>
      <c r="B1600" t="s">
        <v>350</v>
      </c>
      <c r="C1600">
        <v>88</v>
      </c>
      <c r="D1600" t="s">
        <v>199</v>
      </c>
      <c r="E1600">
        <v>1174</v>
      </c>
      <c r="F1600" s="1">
        <v>9.9000000000000008E-3</v>
      </c>
      <c r="G1600" s="1">
        <v>0.29499999999999998</v>
      </c>
      <c r="H1600" s="1">
        <v>0.69520000000000004</v>
      </c>
    </row>
    <row r="1601" spans="1:8" x14ac:dyDescent="0.25">
      <c r="A1601" t="s">
        <v>198</v>
      </c>
      <c r="B1601" t="s">
        <v>350</v>
      </c>
      <c r="C1601">
        <v>32</v>
      </c>
      <c r="D1601" t="s">
        <v>200</v>
      </c>
      <c r="E1601">
        <v>1174</v>
      </c>
      <c r="G1601" s="1">
        <v>0.25659999999999999</v>
      </c>
      <c r="H1601" s="1">
        <v>0.74339999999999995</v>
      </c>
    </row>
    <row r="1602" spans="1:8" x14ac:dyDescent="0.25">
      <c r="A1602" t="s">
        <v>198</v>
      </c>
      <c r="B1602" t="s">
        <v>348</v>
      </c>
      <c r="C1602">
        <v>120</v>
      </c>
      <c r="D1602" t="s">
        <v>200</v>
      </c>
      <c r="E1602">
        <v>1174</v>
      </c>
      <c r="F1602" s="1">
        <v>3.2300000000000002E-2</v>
      </c>
      <c r="G1602" s="1">
        <v>0.62470000000000003</v>
      </c>
      <c r="H1602" s="1">
        <v>0.34289999999999998</v>
      </c>
    </row>
    <row r="1603" spans="1:8" x14ac:dyDescent="0.25">
      <c r="A1603" t="s">
        <v>198</v>
      </c>
      <c r="B1603" t="s">
        <v>349</v>
      </c>
      <c r="C1603">
        <v>31</v>
      </c>
      <c r="D1603" t="s">
        <v>200</v>
      </c>
      <c r="E1603">
        <v>1174</v>
      </c>
      <c r="G1603" s="1">
        <v>0.7198</v>
      </c>
      <c r="H1603" s="1">
        <v>0.2802</v>
      </c>
    </row>
    <row r="1604" spans="1:8" x14ac:dyDescent="0.25">
      <c r="A1604" t="s">
        <v>198</v>
      </c>
      <c r="B1604" t="s">
        <v>349</v>
      </c>
      <c r="C1604">
        <v>65</v>
      </c>
      <c r="D1604" t="s">
        <v>201</v>
      </c>
      <c r="E1604">
        <v>1174</v>
      </c>
      <c r="F1604" s="1">
        <v>3.2000000000000002E-3</v>
      </c>
      <c r="G1604" s="1">
        <v>0.35049999999999998</v>
      </c>
      <c r="H1604" s="1">
        <v>0.6462</v>
      </c>
    </row>
    <row r="1605" spans="1:8" s="29" customFormat="1" x14ac:dyDescent="0.25">
      <c r="A1605" s="29" t="s">
        <v>198</v>
      </c>
      <c r="B1605" s="29" t="s">
        <v>350</v>
      </c>
      <c r="C1605" s="29">
        <v>25</v>
      </c>
      <c r="D1605" s="29" t="s">
        <v>201</v>
      </c>
      <c r="E1605" s="29">
        <v>1174</v>
      </c>
      <c r="G1605" s="30">
        <v>0.2198</v>
      </c>
      <c r="H1605" s="30">
        <v>0.7802</v>
      </c>
    </row>
    <row r="1606" spans="1:8" x14ac:dyDescent="0.25">
      <c r="A1606" t="s">
        <v>198</v>
      </c>
      <c r="B1606" t="s">
        <v>348</v>
      </c>
      <c r="C1606">
        <v>33</v>
      </c>
      <c r="D1606" t="s">
        <v>201</v>
      </c>
      <c r="E1606">
        <v>1174</v>
      </c>
      <c r="F1606" s="1">
        <v>9.2999999999999992E-3</v>
      </c>
      <c r="G1606" s="1">
        <v>0.76519999999999999</v>
      </c>
      <c r="H1606" s="1">
        <v>0.22539999999999999</v>
      </c>
    </row>
    <row r="1607" spans="1:8" x14ac:dyDescent="0.25">
      <c r="A1607" t="s">
        <v>198</v>
      </c>
      <c r="B1607" t="s">
        <v>348</v>
      </c>
      <c r="C1607">
        <v>33</v>
      </c>
      <c r="D1607" t="s">
        <v>202</v>
      </c>
      <c r="E1607">
        <v>1174</v>
      </c>
      <c r="G1607" s="1">
        <v>0.79530000000000001</v>
      </c>
      <c r="H1607" s="1">
        <v>0.20469999999999999</v>
      </c>
    </row>
    <row r="1608" spans="1:8" x14ac:dyDescent="0.25">
      <c r="A1608" t="s">
        <v>203</v>
      </c>
      <c r="B1608" t="s">
        <v>349</v>
      </c>
      <c r="C1608">
        <v>74</v>
      </c>
      <c r="D1608" t="s">
        <v>199</v>
      </c>
      <c r="E1608">
        <v>1174</v>
      </c>
      <c r="G1608" s="1">
        <v>0.6522</v>
      </c>
      <c r="H1608" s="1">
        <v>0.3478</v>
      </c>
    </row>
    <row r="1609" spans="1:8" s="29" customFormat="1" x14ac:dyDescent="0.25">
      <c r="A1609" s="29" t="s">
        <v>203</v>
      </c>
      <c r="B1609" s="29" t="s">
        <v>348</v>
      </c>
      <c r="C1609" s="29">
        <v>11</v>
      </c>
      <c r="D1609" s="29" t="s">
        <v>199</v>
      </c>
      <c r="E1609" s="29">
        <v>1174</v>
      </c>
      <c r="G1609" s="30">
        <v>0.72430000000000005</v>
      </c>
      <c r="H1609" s="30">
        <v>0.2757</v>
      </c>
    </row>
    <row r="1610" spans="1:8" x14ac:dyDescent="0.25">
      <c r="A1610" t="s">
        <v>203</v>
      </c>
      <c r="B1610" t="s">
        <v>350</v>
      </c>
      <c r="C1610">
        <v>149</v>
      </c>
      <c r="D1610" t="s">
        <v>199</v>
      </c>
      <c r="E1610">
        <v>1174</v>
      </c>
      <c r="G1610" s="1">
        <v>0.39539999999999997</v>
      </c>
      <c r="H1610" s="1">
        <v>0.60460000000000003</v>
      </c>
    </row>
    <row r="1611" spans="1:8" x14ac:dyDescent="0.25">
      <c r="A1611" t="s">
        <v>203</v>
      </c>
      <c r="B1611" t="s">
        <v>348</v>
      </c>
      <c r="C1611">
        <v>124</v>
      </c>
      <c r="D1611" t="s">
        <v>200</v>
      </c>
      <c r="E1611">
        <v>1174</v>
      </c>
      <c r="G1611" s="1">
        <v>0.64370000000000005</v>
      </c>
      <c r="H1611" s="1">
        <v>0.35630000000000001</v>
      </c>
    </row>
    <row r="1612" spans="1:8" x14ac:dyDescent="0.25">
      <c r="A1612" t="s">
        <v>203</v>
      </c>
      <c r="B1612" t="s">
        <v>349</v>
      </c>
      <c r="C1612">
        <v>41</v>
      </c>
      <c r="D1612" t="s">
        <v>200</v>
      </c>
      <c r="E1612">
        <v>1174</v>
      </c>
      <c r="G1612" s="1">
        <v>0.61709999999999998</v>
      </c>
      <c r="H1612" s="1">
        <v>0.38290000000000002</v>
      </c>
    </row>
    <row r="1613" spans="1:8" x14ac:dyDescent="0.25">
      <c r="A1613" t="s">
        <v>203</v>
      </c>
      <c r="B1613" t="s">
        <v>350</v>
      </c>
      <c r="C1613">
        <v>53</v>
      </c>
      <c r="D1613" t="s">
        <v>200</v>
      </c>
      <c r="E1613">
        <v>1174</v>
      </c>
      <c r="G1613" s="1">
        <v>0.48330000000000001</v>
      </c>
      <c r="H1613" s="1">
        <v>0.51670000000000005</v>
      </c>
    </row>
    <row r="1614" spans="1:8" s="29" customFormat="1" x14ac:dyDescent="0.25">
      <c r="A1614" s="29" t="s">
        <v>203</v>
      </c>
      <c r="B1614" s="29" t="s">
        <v>348</v>
      </c>
      <c r="C1614" s="29">
        <v>28</v>
      </c>
      <c r="D1614" s="29" t="s">
        <v>201</v>
      </c>
      <c r="E1614" s="29">
        <v>1174</v>
      </c>
      <c r="G1614" s="30">
        <v>0.85709999999999997</v>
      </c>
      <c r="H1614" s="30">
        <v>0.1429</v>
      </c>
    </row>
    <row r="1615" spans="1:8" x14ac:dyDescent="0.25">
      <c r="A1615" t="s">
        <v>203</v>
      </c>
      <c r="B1615" t="s">
        <v>349</v>
      </c>
      <c r="C1615">
        <v>60</v>
      </c>
      <c r="D1615" t="s">
        <v>201</v>
      </c>
      <c r="E1615">
        <v>1174</v>
      </c>
      <c r="F1615" s="1">
        <v>2.2800000000000001E-2</v>
      </c>
      <c r="G1615" s="1">
        <v>0.52310000000000001</v>
      </c>
      <c r="H1615" s="1">
        <v>0.4541</v>
      </c>
    </row>
    <row r="1616" spans="1:8" x14ac:dyDescent="0.25">
      <c r="A1616" t="s">
        <v>203</v>
      </c>
      <c r="B1616" t="s">
        <v>350</v>
      </c>
      <c r="C1616">
        <v>46</v>
      </c>
      <c r="D1616" t="s">
        <v>201</v>
      </c>
      <c r="E1616">
        <v>1174</v>
      </c>
      <c r="F1616" s="1">
        <v>3.9600000000000003E-2</v>
      </c>
      <c r="G1616" s="1">
        <v>0.51649999999999996</v>
      </c>
      <c r="H1616" s="1">
        <v>0.44390000000000002</v>
      </c>
    </row>
    <row r="1617" spans="1:8" x14ac:dyDescent="0.25">
      <c r="A1617" t="s">
        <v>203</v>
      </c>
      <c r="B1617" t="s">
        <v>348</v>
      </c>
      <c r="C1617">
        <v>45</v>
      </c>
      <c r="D1617" t="s">
        <v>202</v>
      </c>
      <c r="E1617">
        <v>1174</v>
      </c>
      <c r="F1617" s="1">
        <v>4.07E-2</v>
      </c>
      <c r="G1617" s="1">
        <v>0.85370000000000001</v>
      </c>
      <c r="H1617" s="1">
        <v>0.1055</v>
      </c>
    </row>
    <row r="1618" spans="1:8" x14ac:dyDescent="0.25">
      <c r="A1618" t="s">
        <v>204</v>
      </c>
      <c r="B1618" t="s">
        <v>204</v>
      </c>
      <c r="C1618">
        <v>1174</v>
      </c>
      <c r="D1618" t="s">
        <v>204</v>
      </c>
      <c r="E1618">
        <v>1174</v>
      </c>
      <c r="F1618" s="1">
        <v>9.2999999999999992E-3</v>
      </c>
      <c r="G1618" s="1">
        <v>0.6139</v>
      </c>
      <c r="H1618" s="1">
        <v>0.37680000000000002</v>
      </c>
    </row>
    <row r="1620" spans="1:8" x14ac:dyDescent="0.25">
      <c r="A1620" t="s">
        <v>464</v>
      </c>
    </row>
    <row r="1621" spans="1:8" x14ac:dyDescent="0.25">
      <c r="A1621" t="s">
        <v>189</v>
      </c>
      <c r="B1621" t="s">
        <v>190</v>
      </c>
      <c r="C1621" t="s">
        <v>191</v>
      </c>
      <c r="D1621" t="s">
        <v>192</v>
      </c>
      <c r="E1621" t="s">
        <v>193</v>
      </c>
      <c r="F1621" t="s">
        <v>194</v>
      </c>
      <c r="G1621" t="s">
        <v>195</v>
      </c>
      <c r="H1621" t="s">
        <v>196</v>
      </c>
    </row>
    <row r="1622" spans="1:8" s="29" customFormat="1" x14ac:dyDescent="0.25">
      <c r="A1622" s="29" t="s">
        <v>197</v>
      </c>
      <c r="B1622" s="29" t="s">
        <v>198</v>
      </c>
      <c r="C1622" s="29">
        <v>10.45252328471015</v>
      </c>
      <c r="D1622" s="29">
        <v>8</v>
      </c>
      <c r="E1622" s="29">
        <v>0</v>
      </c>
      <c r="F1622" s="29">
        <v>42</v>
      </c>
      <c r="G1622" s="29">
        <v>28</v>
      </c>
      <c r="H1622" s="29">
        <v>1174</v>
      </c>
    </row>
    <row r="1623" spans="1:8" x14ac:dyDescent="0.25">
      <c r="A1623" t="s">
        <v>199</v>
      </c>
      <c r="B1623" t="s">
        <v>198</v>
      </c>
      <c r="C1623">
        <v>10.4687104821195</v>
      </c>
      <c r="D1623">
        <v>7</v>
      </c>
      <c r="E1623">
        <v>0</v>
      </c>
      <c r="F1623">
        <v>56</v>
      </c>
      <c r="G1623">
        <v>160</v>
      </c>
      <c r="H1623">
        <v>1174</v>
      </c>
    </row>
    <row r="1624" spans="1:8" x14ac:dyDescent="0.25">
      <c r="A1624" t="s">
        <v>200</v>
      </c>
      <c r="B1624" t="s">
        <v>198</v>
      </c>
      <c r="C1624">
        <v>9.2006336755883833</v>
      </c>
      <c r="D1624">
        <v>10</v>
      </c>
      <c r="E1624">
        <v>0</v>
      </c>
      <c r="F1624">
        <v>40</v>
      </c>
      <c r="G1624">
        <v>186</v>
      </c>
      <c r="H1624">
        <v>1174</v>
      </c>
    </row>
    <row r="1625" spans="1:8" x14ac:dyDescent="0.25">
      <c r="A1625" t="s">
        <v>201</v>
      </c>
      <c r="B1625" t="s">
        <v>198</v>
      </c>
      <c r="C1625">
        <v>10.877370032681471</v>
      </c>
      <c r="D1625">
        <v>10</v>
      </c>
      <c r="E1625">
        <v>0</v>
      </c>
      <c r="F1625">
        <v>56</v>
      </c>
      <c r="G1625">
        <v>128</v>
      </c>
      <c r="H1625">
        <v>1174</v>
      </c>
    </row>
    <row r="1626" spans="1:8" x14ac:dyDescent="0.25">
      <c r="A1626" t="s">
        <v>202</v>
      </c>
      <c r="B1626" t="s">
        <v>198</v>
      </c>
      <c r="C1626">
        <v>10.404293916310181</v>
      </c>
      <c r="D1626">
        <v>7</v>
      </c>
      <c r="E1626">
        <v>0</v>
      </c>
      <c r="F1626">
        <v>56</v>
      </c>
      <c r="G1626">
        <v>33</v>
      </c>
      <c r="H1626">
        <v>1174</v>
      </c>
    </row>
    <row r="1627" spans="1:8" x14ac:dyDescent="0.25">
      <c r="A1627" t="s">
        <v>199</v>
      </c>
      <c r="B1627" t="s">
        <v>203</v>
      </c>
      <c r="C1627">
        <v>8.5593313360094072</v>
      </c>
      <c r="D1627">
        <v>5</v>
      </c>
      <c r="E1627">
        <v>0</v>
      </c>
      <c r="F1627">
        <v>59</v>
      </c>
      <c r="G1627">
        <v>237</v>
      </c>
      <c r="H1627">
        <v>1174</v>
      </c>
    </row>
    <row r="1628" spans="1:8" x14ac:dyDescent="0.25">
      <c r="A1628" t="s">
        <v>200</v>
      </c>
      <c r="B1628" t="s">
        <v>203</v>
      </c>
      <c r="C1628">
        <v>11.86810327956913</v>
      </c>
      <c r="D1628">
        <v>10</v>
      </c>
      <c r="E1628">
        <v>0</v>
      </c>
      <c r="F1628">
        <v>59</v>
      </c>
      <c r="G1628">
        <v>219</v>
      </c>
      <c r="H1628">
        <v>1174</v>
      </c>
    </row>
    <row r="1629" spans="1:8" x14ac:dyDescent="0.25">
      <c r="A1629" t="s">
        <v>201</v>
      </c>
      <c r="B1629" t="s">
        <v>203</v>
      </c>
      <c r="C1629">
        <v>8.958026695263646</v>
      </c>
      <c r="D1629">
        <v>7</v>
      </c>
      <c r="E1629">
        <v>0</v>
      </c>
      <c r="F1629">
        <v>50</v>
      </c>
      <c r="G1629">
        <v>138</v>
      </c>
      <c r="H1629">
        <v>1174</v>
      </c>
    </row>
    <row r="1630" spans="1:8" x14ac:dyDescent="0.25">
      <c r="A1630" t="s">
        <v>202</v>
      </c>
      <c r="B1630" t="s">
        <v>203</v>
      </c>
      <c r="C1630">
        <v>7.8748688014361106</v>
      </c>
      <c r="D1630">
        <v>8</v>
      </c>
      <c r="E1630">
        <v>0</v>
      </c>
      <c r="F1630">
        <v>28</v>
      </c>
      <c r="G1630">
        <v>45</v>
      </c>
      <c r="H1630">
        <v>1174</v>
      </c>
    </row>
    <row r="1631" spans="1:8" x14ac:dyDescent="0.25">
      <c r="A1631" t="s">
        <v>204</v>
      </c>
      <c r="B1631" t="s">
        <v>204</v>
      </c>
      <c r="C1631">
        <v>10.237961674686129</v>
      </c>
      <c r="D1631">
        <v>8</v>
      </c>
      <c r="E1631">
        <v>0</v>
      </c>
      <c r="F1631">
        <v>59</v>
      </c>
      <c r="G1631">
        <v>1174</v>
      </c>
      <c r="H1631">
        <v>1174</v>
      </c>
    </row>
    <row r="1633" spans="1:20" x14ac:dyDescent="0.25">
      <c r="A1633" t="s">
        <v>465</v>
      </c>
    </row>
    <row r="1634" spans="1:20" x14ac:dyDescent="0.25">
      <c r="A1634" t="s">
        <v>190</v>
      </c>
      <c r="B1634" t="s">
        <v>195</v>
      </c>
      <c r="C1634" t="s">
        <v>189</v>
      </c>
      <c r="D1634" t="s">
        <v>196</v>
      </c>
      <c r="E1634" t="s">
        <v>466</v>
      </c>
      <c r="F1634" t="s">
        <v>467</v>
      </c>
      <c r="G1634" t="s">
        <v>468</v>
      </c>
      <c r="H1634" t="s">
        <v>220</v>
      </c>
      <c r="I1634" t="s">
        <v>469</v>
      </c>
      <c r="J1634" t="s">
        <v>470</v>
      </c>
      <c r="K1634" t="s">
        <v>471</v>
      </c>
      <c r="L1634" t="s">
        <v>472</v>
      </c>
      <c r="M1634" t="s">
        <v>271</v>
      </c>
      <c r="N1634" t="s">
        <v>473</v>
      </c>
      <c r="O1634" t="s">
        <v>215</v>
      </c>
      <c r="P1634" t="s">
        <v>474</v>
      </c>
      <c r="Q1634" t="s">
        <v>475</v>
      </c>
      <c r="R1634" t="s">
        <v>476</v>
      </c>
      <c r="S1634" t="s">
        <v>477</v>
      </c>
    </row>
    <row r="1635" spans="1:20" x14ac:dyDescent="0.25">
      <c r="A1635" t="s">
        <v>198</v>
      </c>
      <c r="B1635">
        <v>82</v>
      </c>
      <c r="C1635" t="s">
        <v>197</v>
      </c>
      <c r="D1635">
        <v>2632</v>
      </c>
      <c r="E1635" s="1">
        <v>0.15740000000000001</v>
      </c>
      <c r="G1635" s="1">
        <v>0.92959999999999998</v>
      </c>
      <c r="I1635" s="1">
        <v>0.39810000000000001</v>
      </c>
      <c r="J1635" s="1">
        <v>0.98619999999999997</v>
      </c>
      <c r="K1635" s="1">
        <v>0.13220000000000001</v>
      </c>
      <c r="L1635" s="1">
        <v>0.37580000000000002</v>
      </c>
      <c r="N1635" s="1">
        <v>0.82579999999999998</v>
      </c>
      <c r="O1635" s="1">
        <v>1.38E-2</v>
      </c>
      <c r="P1635" s="1">
        <v>0.37780000000000002</v>
      </c>
      <c r="Q1635" s="1">
        <v>0.66210000000000002</v>
      </c>
      <c r="R1635" s="1">
        <v>0.78990000000000005</v>
      </c>
      <c r="S1635" s="1">
        <v>0.45729999999999998</v>
      </c>
    </row>
    <row r="1636" spans="1:20" x14ac:dyDescent="0.25">
      <c r="A1636" t="s">
        <v>198</v>
      </c>
      <c r="B1636">
        <v>368</v>
      </c>
      <c r="C1636" t="s">
        <v>199</v>
      </c>
      <c r="D1636">
        <v>2632</v>
      </c>
      <c r="E1636" s="1">
        <v>0.15409999999999999</v>
      </c>
      <c r="F1636" s="1">
        <v>7.4700000000000003E-2</v>
      </c>
      <c r="G1636" s="1">
        <v>0.94530000000000003</v>
      </c>
      <c r="I1636" s="1">
        <v>0.61250000000000004</v>
      </c>
      <c r="J1636" s="1">
        <v>0.99680000000000002</v>
      </c>
      <c r="K1636" s="1">
        <v>7.0900000000000005E-2</v>
      </c>
      <c r="L1636" s="1">
        <v>0.3175</v>
      </c>
      <c r="M1636" s="1">
        <v>2.9999999999999997E-4</v>
      </c>
      <c r="N1636" s="1">
        <v>0.78410000000000002</v>
      </c>
      <c r="P1636" s="1">
        <v>0.62</v>
      </c>
      <c r="Q1636" s="1">
        <v>0.62460000000000004</v>
      </c>
      <c r="R1636" s="1">
        <v>0.9446</v>
      </c>
      <c r="S1636" s="1">
        <v>0.59609999999999996</v>
      </c>
    </row>
    <row r="1637" spans="1:20" x14ac:dyDescent="0.25">
      <c r="A1637" t="s">
        <v>198</v>
      </c>
      <c r="B1637">
        <v>387</v>
      </c>
      <c r="C1637" t="s">
        <v>200</v>
      </c>
      <c r="D1637">
        <v>2632</v>
      </c>
      <c r="E1637" s="1">
        <v>7.6300000000000007E-2</v>
      </c>
      <c r="F1637" s="1">
        <v>2.52E-2</v>
      </c>
      <c r="G1637" s="1">
        <v>0.90510000000000002</v>
      </c>
      <c r="I1637" s="1">
        <v>0.59279999999999999</v>
      </c>
      <c r="J1637" s="1">
        <v>0.99180000000000001</v>
      </c>
      <c r="K1637" s="1">
        <v>9.2700000000000005E-2</v>
      </c>
      <c r="L1637" s="1">
        <v>0.3327</v>
      </c>
      <c r="M1637" s="1">
        <v>1.6999999999999999E-3</v>
      </c>
      <c r="N1637" s="1">
        <v>0.81410000000000005</v>
      </c>
      <c r="O1637" s="1">
        <v>1.6999999999999999E-3</v>
      </c>
      <c r="P1637" s="1">
        <v>0.63339999999999996</v>
      </c>
      <c r="Q1637" s="1">
        <v>0.72670000000000001</v>
      </c>
      <c r="R1637" s="1">
        <v>0.93779999999999997</v>
      </c>
      <c r="S1637" s="1">
        <v>0.49669999999999997</v>
      </c>
    </row>
    <row r="1638" spans="1:20" x14ac:dyDescent="0.25">
      <c r="A1638" t="s">
        <v>198</v>
      </c>
      <c r="B1638">
        <v>256</v>
      </c>
      <c r="C1638" t="s">
        <v>201</v>
      </c>
      <c r="D1638">
        <v>2632</v>
      </c>
      <c r="E1638" s="1">
        <v>0.11990000000000001</v>
      </c>
      <c r="F1638" s="1">
        <v>6.5500000000000003E-2</v>
      </c>
      <c r="G1638" s="1">
        <v>0.89339999999999997</v>
      </c>
      <c r="I1638" s="1">
        <v>0.60529999999999995</v>
      </c>
      <c r="J1638" s="1">
        <v>0.9768</v>
      </c>
      <c r="K1638" s="1">
        <v>8.9899999999999994E-2</v>
      </c>
      <c r="L1638" s="1">
        <v>0.33339999999999997</v>
      </c>
      <c r="M1638" s="1">
        <v>6.9999999999999999E-4</v>
      </c>
      <c r="N1638" s="1">
        <v>0.7772</v>
      </c>
      <c r="O1638" s="1">
        <v>2.9999999999999997E-4</v>
      </c>
      <c r="P1638" s="1">
        <v>0.62360000000000004</v>
      </c>
      <c r="Q1638" s="1">
        <v>0.74339999999999995</v>
      </c>
      <c r="R1638" s="1">
        <v>0.92510000000000003</v>
      </c>
      <c r="S1638" s="1">
        <v>0.53480000000000005</v>
      </c>
    </row>
    <row r="1639" spans="1:20" x14ac:dyDescent="0.25">
      <c r="A1639" t="s">
        <v>198</v>
      </c>
      <c r="B1639">
        <v>96</v>
      </c>
      <c r="C1639" t="s">
        <v>202</v>
      </c>
      <c r="D1639">
        <v>2632</v>
      </c>
      <c r="E1639" s="1">
        <v>4.8500000000000001E-2</v>
      </c>
      <c r="F1639" s="1">
        <v>7.85E-2</v>
      </c>
      <c r="G1639" s="1">
        <v>0.91830000000000001</v>
      </c>
      <c r="I1639" s="1">
        <v>0.53129999999999999</v>
      </c>
      <c r="J1639" s="1">
        <v>0.98470000000000002</v>
      </c>
      <c r="K1639" s="1">
        <v>0.156</v>
      </c>
      <c r="L1639" s="1">
        <v>0.3664</v>
      </c>
      <c r="N1639" s="1">
        <v>0.83919999999999995</v>
      </c>
      <c r="P1639" s="1">
        <v>0.67949999999999999</v>
      </c>
      <c r="Q1639" s="1">
        <v>0.73180000000000001</v>
      </c>
      <c r="R1639" s="1">
        <v>0.81710000000000005</v>
      </c>
      <c r="S1639" s="1">
        <v>0.39689999999999998</v>
      </c>
    </row>
    <row r="1640" spans="1:20" x14ac:dyDescent="0.25">
      <c r="A1640" t="s">
        <v>203</v>
      </c>
      <c r="B1640">
        <v>530</v>
      </c>
      <c r="C1640" t="s">
        <v>199</v>
      </c>
      <c r="D1640">
        <v>2632</v>
      </c>
      <c r="E1640" s="1">
        <v>0.3221</v>
      </c>
      <c r="F1640" s="1">
        <v>3.6700000000000003E-2</v>
      </c>
      <c r="G1640" s="1">
        <v>0.9617</v>
      </c>
      <c r="H1640" s="1">
        <v>5.0000000000000001E-4</v>
      </c>
      <c r="I1640" s="1">
        <v>0.68710000000000004</v>
      </c>
      <c r="J1640" s="1">
        <v>0.99590000000000001</v>
      </c>
      <c r="K1640" s="1">
        <v>4.9099999999999998E-2</v>
      </c>
      <c r="L1640" s="1">
        <v>0.42299999999999999</v>
      </c>
      <c r="M1640" s="1">
        <v>1.8E-3</v>
      </c>
      <c r="N1640" s="1">
        <v>0.90380000000000005</v>
      </c>
      <c r="O1640" s="1">
        <v>1E-4</v>
      </c>
      <c r="P1640" s="1">
        <v>0.1263</v>
      </c>
      <c r="Q1640" s="1">
        <v>0.7198</v>
      </c>
      <c r="R1640" s="1">
        <v>0.94550000000000001</v>
      </c>
      <c r="S1640" s="1">
        <v>0.6593</v>
      </c>
    </row>
    <row r="1641" spans="1:20" x14ac:dyDescent="0.25">
      <c r="A1641" t="s">
        <v>203</v>
      </c>
      <c r="B1641">
        <v>503</v>
      </c>
      <c r="C1641" t="s">
        <v>200</v>
      </c>
      <c r="D1641">
        <v>2632</v>
      </c>
      <c r="E1641" s="1">
        <v>0.3523</v>
      </c>
      <c r="F1641" s="1">
        <v>7.3400000000000007E-2</v>
      </c>
      <c r="G1641" s="1">
        <v>0.97809999999999997</v>
      </c>
      <c r="I1641" s="1">
        <v>0.68389999999999995</v>
      </c>
      <c r="J1641" s="1">
        <v>0.99980000000000002</v>
      </c>
      <c r="K1641" s="1">
        <v>4.5400000000000003E-2</v>
      </c>
      <c r="L1641" s="1">
        <v>0.31630000000000003</v>
      </c>
      <c r="N1641" s="1">
        <v>0.88770000000000004</v>
      </c>
      <c r="P1641" s="1">
        <v>0.18240000000000001</v>
      </c>
      <c r="Q1641" s="1">
        <v>0.88129999999999997</v>
      </c>
      <c r="R1641" s="1">
        <v>0.94640000000000002</v>
      </c>
      <c r="S1641" s="1">
        <v>0.46839999999999998</v>
      </c>
    </row>
    <row r="1642" spans="1:20" x14ac:dyDescent="0.25">
      <c r="A1642" t="s">
        <v>203</v>
      </c>
      <c r="B1642">
        <v>320</v>
      </c>
      <c r="C1642" t="s">
        <v>201</v>
      </c>
      <c r="D1642">
        <v>2632</v>
      </c>
      <c r="E1642" s="1">
        <v>0.18079999999999999</v>
      </c>
      <c r="F1642" s="1">
        <v>3.4200000000000001E-2</v>
      </c>
      <c r="G1642" s="1">
        <v>0.95960000000000001</v>
      </c>
      <c r="I1642" s="1">
        <v>0.747</v>
      </c>
      <c r="J1642" s="1">
        <v>0.98850000000000005</v>
      </c>
      <c r="K1642" s="1">
        <v>0.19819999999999999</v>
      </c>
      <c r="L1642" s="1">
        <v>0.48930000000000001</v>
      </c>
      <c r="N1642" s="1">
        <v>0.84570000000000001</v>
      </c>
      <c r="P1642" s="1">
        <v>7.1900000000000006E-2</v>
      </c>
      <c r="Q1642" s="1">
        <v>0.81910000000000005</v>
      </c>
      <c r="R1642" s="1">
        <v>0.98009999999999997</v>
      </c>
      <c r="S1642" s="1">
        <v>0.36120000000000002</v>
      </c>
    </row>
    <row r="1643" spans="1:20" x14ac:dyDescent="0.25">
      <c r="A1643" t="s">
        <v>203</v>
      </c>
      <c r="B1643">
        <v>90</v>
      </c>
      <c r="C1643" t="s">
        <v>202</v>
      </c>
      <c r="D1643">
        <v>2632</v>
      </c>
      <c r="E1643" s="1">
        <v>0.14649999999999999</v>
      </c>
      <c r="F1643" s="1">
        <v>5.0200000000000002E-2</v>
      </c>
      <c r="G1643" s="1">
        <v>0.97519999999999996</v>
      </c>
      <c r="H1643" s="1">
        <v>1.0200000000000001E-2</v>
      </c>
      <c r="I1643" s="1">
        <v>0.73770000000000002</v>
      </c>
      <c r="J1643" s="1">
        <v>0.98980000000000001</v>
      </c>
      <c r="K1643" s="1">
        <v>0.1313</v>
      </c>
      <c r="L1643" s="1">
        <v>0.56369999999999998</v>
      </c>
      <c r="N1643" s="1">
        <v>0.84089999999999998</v>
      </c>
      <c r="P1643" s="1">
        <v>0.1802</v>
      </c>
      <c r="Q1643" s="1">
        <v>0.87009999999999998</v>
      </c>
      <c r="R1643" s="1">
        <v>0.93910000000000005</v>
      </c>
      <c r="S1643" s="1">
        <v>0.53839999999999999</v>
      </c>
    </row>
    <row r="1644" spans="1:20" x14ac:dyDescent="0.25">
      <c r="A1644" t="s">
        <v>204</v>
      </c>
      <c r="B1644">
        <v>2632</v>
      </c>
      <c r="C1644" t="s">
        <v>204</v>
      </c>
      <c r="D1644">
        <v>2632</v>
      </c>
      <c r="E1644" s="1">
        <v>0.21679999999999999</v>
      </c>
      <c r="F1644" s="1">
        <v>5.4699999999999999E-2</v>
      </c>
      <c r="G1644" s="1">
        <v>0.94879999999999998</v>
      </c>
      <c r="H1644" s="1">
        <v>5.9999999999999995E-4</v>
      </c>
      <c r="I1644" s="1">
        <v>0.63329999999999997</v>
      </c>
      <c r="J1644" s="1">
        <v>0.99339999999999995</v>
      </c>
      <c r="K1644" s="1">
        <v>8.5800000000000001E-2</v>
      </c>
      <c r="L1644" s="1">
        <v>0.36370000000000002</v>
      </c>
      <c r="M1644" s="1">
        <v>5.0000000000000001E-4</v>
      </c>
      <c r="N1644" s="1">
        <v>0.84919999999999995</v>
      </c>
      <c r="O1644" s="1">
        <v>1.1000000000000001E-3</v>
      </c>
      <c r="P1644" s="1">
        <v>0.36099999999999999</v>
      </c>
      <c r="Q1644" s="1">
        <v>0.76970000000000005</v>
      </c>
      <c r="R1644" s="1">
        <v>0.92300000000000004</v>
      </c>
      <c r="S1644" s="1">
        <v>0.50629999999999997</v>
      </c>
    </row>
    <row r="1646" spans="1:20" x14ac:dyDescent="0.25">
      <c r="A1646" t="s">
        <v>478</v>
      </c>
    </row>
    <row r="1647" spans="1:20" x14ac:dyDescent="0.25">
      <c r="A1647" t="s">
        <v>190</v>
      </c>
      <c r="B1647" t="s">
        <v>206</v>
      </c>
      <c r="C1647" t="s">
        <v>195</v>
      </c>
      <c r="D1647" t="s">
        <v>189</v>
      </c>
      <c r="E1647" t="s">
        <v>196</v>
      </c>
      <c r="F1647" t="s">
        <v>466</v>
      </c>
      <c r="G1647" t="s">
        <v>467</v>
      </c>
      <c r="H1647" t="s">
        <v>468</v>
      </c>
      <c r="I1647" t="s">
        <v>220</v>
      </c>
      <c r="J1647" t="s">
        <v>469</v>
      </c>
      <c r="K1647" t="s">
        <v>470</v>
      </c>
      <c r="L1647" t="s">
        <v>471</v>
      </c>
      <c r="M1647" t="s">
        <v>472</v>
      </c>
      <c r="N1647" t="s">
        <v>271</v>
      </c>
      <c r="O1647" t="s">
        <v>473</v>
      </c>
      <c r="P1647" t="s">
        <v>215</v>
      </c>
      <c r="Q1647" t="s">
        <v>474</v>
      </c>
      <c r="R1647" t="s">
        <v>475</v>
      </c>
      <c r="S1647" t="s">
        <v>476</v>
      </c>
      <c r="T1647" t="s">
        <v>477</v>
      </c>
    </row>
    <row r="1648" spans="1:20" x14ac:dyDescent="0.25">
      <c r="A1648" t="s">
        <v>198</v>
      </c>
      <c r="B1648" t="s">
        <v>228</v>
      </c>
      <c r="C1648">
        <v>33</v>
      </c>
      <c r="D1648" t="s">
        <v>197</v>
      </c>
      <c r="E1648">
        <v>2632</v>
      </c>
      <c r="F1648" s="1">
        <v>9.11E-2</v>
      </c>
      <c r="H1648" s="1">
        <v>0.89439999999999997</v>
      </c>
      <c r="J1648" s="1">
        <v>0.38990000000000002</v>
      </c>
      <c r="K1648" s="1">
        <v>1</v>
      </c>
      <c r="L1648" s="1">
        <v>0.22220000000000001</v>
      </c>
      <c r="M1648" s="1">
        <v>0.38169999999999998</v>
      </c>
      <c r="O1648" s="1">
        <v>0.88339999999999996</v>
      </c>
      <c r="Q1648" s="1">
        <v>0.1258</v>
      </c>
      <c r="R1648" s="1">
        <v>0.69489999999999996</v>
      </c>
      <c r="S1648" s="1">
        <v>0.82599999999999996</v>
      </c>
      <c r="T1648" s="1">
        <v>0.37440000000000001</v>
      </c>
    </row>
    <row r="1649" spans="1:20" x14ac:dyDescent="0.25">
      <c r="A1649" t="s">
        <v>198</v>
      </c>
      <c r="B1649" t="s">
        <v>229</v>
      </c>
      <c r="C1649">
        <v>49</v>
      </c>
      <c r="D1649" t="s">
        <v>197</v>
      </c>
      <c r="E1649">
        <v>2632</v>
      </c>
      <c r="F1649" s="1">
        <v>0.20780000000000001</v>
      </c>
      <c r="H1649" s="1">
        <v>0.95640000000000003</v>
      </c>
      <c r="J1649" s="1">
        <v>0.40429999999999999</v>
      </c>
      <c r="K1649" s="1">
        <v>0.9758</v>
      </c>
      <c r="L1649" s="1">
        <v>6.3700000000000007E-2</v>
      </c>
      <c r="M1649" s="1">
        <v>0.37130000000000002</v>
      </c>
      <c r="O1649" s="1">
        <v>0.78200000000000003</v>
      </c>
      <c r="P1649" s="1">
        <v>2.4199999999999999E-2</v>
      </c>
      <c r="Q1649" s="1">
        <v>0.56940000000000002</v>
      </c>
      <c r="R1649" s="1">
        <v>0.63719999999999999</v>
      </c>
      <c r="S1649" s="1">
        <v>0.76249999999999996</v>
      </c>
      <c r="T1649" s="1">
        <v>0.52029999999999998</v>
      </c>
    </row>
    <row r="1650" spans="1:20" x14ac:dyDescent="0.25">
      <c r="A1650" t="s">
        <v>198</v>
      </c>
      <c r="B1650" t="s">
        <v>228</v>
      </c>
      <c r="C1650">
        <v>145</v>
      </c>
      <c r="D1650" t="s">
        <v>199</v>
      </c>
      <c r="E1650">
        <v>2632</v>
      </c>
      <c r="F1650" s="1">
        <v>6.2100000000000002E-2</v>
      </c>
      <c r="G1650" s="1">
        <v>7.8600000000000003E-2</v>
      </c>
      <c r="H1650" s="1">
        <v>0.93979999999999997</v>
      </c>
      <c r="J1650" s="1">
        <v>0.56200000000000006</v>
      </c>
      <c r="K1650" s="1">
        <v>0.99529999999999996</v>
      </c>
      <c r="L1650" s="1">
        <v>0.2185</v>
      </c>
      <c r="M1650" s="1">
        <v>0.4007</v>
      </c>
      <c r="N1650" s="1">
        <v>1.2999999999999999E-3</v>
      </c>
      <c r="O1650" s="1">
        <v>0.876</v>
      </c>
      <c r="Q1650" s="1">
        <v>0.3241</v>
      </c>
      <c r="R1650" s="1">
        <v>0.5746</v>
      </c>
      <c r="S1650" s="1">
        <v>0.91539999999999999</v>
      </c>
      <c r="T1650" s="1">
        <v>0.40300000000000002</v>
      </c>
    </row>
    <row r="1651" spans="1:20" x14ac:dyDescent="0.25">
      <c r="A1651" t="s">
        <v>198</v>
      </c>
      <c r="B1651" t="s">
        <v>229</v>
      </c>
      <c r="C1651">
        <v>213</v>
      </c>
      <c r="D1651" t="s">
        <v>199</v>
      </c>
      <c r="E1651">
        <v>2632</v>
      </c>
      <c r="F1651" s="1">
        <v>0.18770000000000001</v>
      </c>
      <c r="G1651" s="1">
        <v>7.3999999999999996E-2</v>
      </c>
      <c r="H1651" s="1">
        <v>0.94850000000000001</v>
      </c>
      <c r="J1651" s="1">
        <v>0.63129999999999997</v>
      </c>
      <c r="K1651" s="1">
        <v>0.99729999999999996</v>
      </c>
      <c r="L1651" s="1">
        <v>1.9699999999999999E-2</v>
      </c>
      <c r="M1651" s="1">
        <v>0.28970000000000001</v>
      </c>
      <c r="O1651" s="1">
        <v>0.75390000000000001</v>
      </c>
      <c r="Q1651" s="1">
        <v>0.72650000000000003</v>
      </c>
      <c r="R1651" s="1">
        <v>0.64549999999999996</v>
      </c>
      <c r="S1651" s="1">
        <v>0.95420000000000005</v>
      </c>
      <c r="T1651" s="1">
        <v>0.6673</v>
      </c>
    </row>
    <row r="1652" spans="1:20" x14ac:dyDescent="0.25">
      <c r="A1652" t="s">
        <v>198</v>
      </c>
      <c r="B1652" t="s">
        <v>229</v>
      </c>
      <c r="C1652">
        <v>270</v>
      </c>
      <c r="D1652" t="s">
        <v>200</v>
      </c>
      <c r="E1652">
        <v>2632</v>
      </c>
      <c r="F1652" s="1">
        <v>7.9799999999999996E-2</v>
      </c>
      <c r="G1652" s="1">
        <v>1.8800000000000001E-2</v>
      </c>
      <c r="H1652" s="1">
        <v>0.90259999999999996</v>
      </c>
      <c r="J1652" s="1">
        <v>0.61639999999999995</v>
      </c>
      <c r="K1652" s="1">
        <v>0.99390000000000001</v>
      </c>
      <c r="L1652" s="1">
        <v>8.0699999999999994E-2</v>
      </c>
      <c r="M1652" s="1">
        <v>0.35239999999999999</v>
      </c>
      <c r="O1652" s="1">
        <v>0.80479999999999996</v>
      </c>
      <c r="Q1652" s="1">
        <v>0.72070000000000001</v>
      </c>
      <c r="R1652" s="1">
        <v>0.7389</v>
      </c>
      <c r="S1652" s="1">
        <v>0.94079999999999997</v>
      </c>
      <c r="T1652" s="1">
        <v>0.53910000000000002</v>
      </c>
    </row>
    <row r="1653" spans="1:20" x14ac:dyDescent="0.25">
      <c r="A1653" t="s">
        <v>198</v>
      </c>
      <c r="B1653" t="s">
        <v>228</v>
      </c>
      <c r="C1653">
        <v>112</v>
      </c>
      <c r="D1653" t="s">
        <v>200</v>
      </c>
      <c r="E1653">
        <v>2632</v>
      </c>
      <c r="F1653" s="1">
        <v>6.7199999999999996E-2</v>
      </c>
      <c r="G1653" s="1">
        <v>4.6899999999999997E-2</v>
      </c>
      <c r="H1653" s="1">
        <v>0.93079999999999996</v>
      </c>
      <c r="J1653" s="1">
        <v>0.52349999999999997</v>
      </c>
      <c r="K1653" s="1">
        <v>0.98509999999999998</v>
      </c>
      <c r="L1653" s="1">
        <v>0.13450000000000001</v>
      </c>
      <c r="M1653" s="1">
        <v>0.27789999999999998</v>
      </c>
      <c r="N1653" s="1">
        <v>7.4999999999999997E-3</v>
      </c>
      <c r="O1653" s="1">
        <v>0.85929999999999995</v>
      </c>
      <c r="P1653" s="1">
        <v>7.4999999999999997E-3</v>
      </c>
      <c r="Q1653" s="1">
        <v>0.35520000000000002</v>
      </c>
      <c r="R1653" s="1">
        <v>0.69920000000000004</v>
      </c>
      <c r="S1653" s="1">
        <v>0.92610000000000003</v>
      </c>
      <c r="T1653" s="1">
        <v>0.3629</v>
      </c>
    </row>
    <row r="1654" spans="1:20" x14ac:dyDescent="0.25">
      <c r="A1654" t="s">
        <v>198</v>
      </c>
      <c r="B1654" t="s">
        <v>228</v>
      </c>
      <c r="C1654">
        <v>95</v>
      </c>
      <c r="D1654" t="s">
        <v>201</v>
      </c>
      <c r="E1654">
        <v>2632</v>
      </c>
      <c r="F1654" s="1">
        <v>3.7499999999999999E-2</v>
      </c>
      <c r="G1654" s="1">
        <v>4.8899999999999999E-2</v>
      </c>
      <c r="H1654" s="1">
        <v>0.89159999999999995</v>
      </c>
      <c r="J1654" s="1">
        <v>0.56869999999999998</v>
      </c>
      <c r="K1654" s="1">
        <v>0.99260000000000004</v>
      </c>
      <c r="L1654" s="1">
        <v>0.15479999999999999</v>
      </c>
      <c r="M1654" s="1">
        <v>0.1787</v>
      </c>
      <c r="O1654" s="1">
        <v>0.74929999999999997</v>
      </c>
      <c r="P1654" s="1">
        <v>1.5E-3</v>
      </c>
      <c r="Q1654" s="1">
        <v>0.32519999999999999</v>
      </c>
      <c r="R1654" s="1">
        <v>0.6351</v>
      </c>
      <c r="S1654" s="1">
        <v>0.92700000000000005</v>
      </c>
      <c r="T1654" s="1">
        <v>0.47839999999999999</v>
      </c>
    </row>
    <row r="1655" spans="1:20" x14ac:dyDescent="0.25">
      <c r="A1655" t="s">
        <v>198</v>
      </c>
      <c r="B1655" t="s">
        <v>229</v>
      </c>
      <c r="C1655">
        <v>155</v>
      </c>
      <c r="D1655" t="s">
        <v>201</v>
      </c>
      <c r="E1655">
        <v>2632</v>
      </c>
      <c r="F1655" s="1">
        <v>0.1384</v>
      </c>
      <c r="G1655" s="1">
        <v>7.0900000000000005E-2</v>
      </c>
      <c r="H1655" s="1">
        <v>0.89249999999999996</v>
      </c>
      <c r="J1655" s="1">
        <v>0.61739999999999995</v>
      </c>
      <c r="K1655" s="1">
        <v>0.97260000000000002</v>
      </c>
      <c r="L1655" s="1">
        <v>7.2099999999999997E-2</v>
      </c>
      <c r="M1655" s="1">
        <v>0.37290000000000001</v>
      </c>
      <c r="N1655" s="1">
        <v>8.9999999999999998E-4</v>
      </c>
      <c r="O1655" s="1">
        <v>0.78890000000000005</v>
      </c>
      <c r="Q1655" s="1">
        <v>0.70240000000000002</v>
      </c>
      <c r="R1655" s="1">
        <v>0.77090000000000003</v>
      </c>
      <c r="S1655" s="1">
        <v>0.9244</v>
      </c>
      <c r="T1655" s="1">
        <v>0.55089999999999995</v>
      </c>
    </row>
    <row r="1656" spans="1:20" s="29" customFormat="1" x14ac:dyDescent="0.25">
      <c r="A1656" s="29" t="s">
        <v>198</v>
      </c>
      <c r="B1656" s="29" t="s">
        <v>228</v>
      </c>
      <c r="C1656" s="29">
        <v>28</v>
      </c>
      <c r="D1656" s="29" t="s">
        <v>202</v>
      </c>
      <c r="E1656" s="29">
        <v>2632</v>
      </c>
      <c r="F1656" s="30">
        <v>5.0900000000000001E-2</v>
      </c>
      <c r="G1656" s="30">
        <v>2.1499999999999998E-2</v>
      </c>
      <c r="H1656" s="30">
        <v>0.89249999999999996</v>
      </c>
      <c r="J1656" s="30">
        <v>0.52029999999999998</v>
      </c>
      <c r="K1656" s="30">
        <v>1</v>
      </c>
      <c r="L1656" s="30">
        <v>7.9100000000000004E-2</v>
      </c>
      <c r="M1656" s="30">
        <v>0.17680000000000001</v>
      </c>
      <c r="O1656" s="30">
        <v>0.92469999999999997</v>
      </c>
      <c r="Q1656" s="30">
        <v>0.29449999999999998</v>
      </c>
      <c r="R1656" s="30">
        <v>0.71789999999999998</v>
      </c>
      <c r="S1656" s="30">
        <v>0.70799999999999996</v>
      </c>
      <c r="T1656" s="30">
        <v>0.15939999999999999</v>
      </c>
    </row>
    <row r="1657" spans="1:20" x14ac:dyDescent="0.25">
      <c r="A1657" t="s">
        <v>198</v>
      </c>
      <c r="B1657" t="s">
        <v>229</v>
      </c>
      <c r="C1657">
        <v>68</v>
      </c>
      <c r="D1657" t="s">
        <v>202</v>
      </c>
      <c r="E1657">
        <v>2632</v>
      </c>
      <c r="F1657" s="1">
        <v>4.7800000000000002E-2</v>
      </c>
      <c r="G1657" s="1">
        <v>9.6199999999999994E-2</v>
      </c>
      <c r="H1657" s="1">
        <v>0.92630000000000001</v>
      </c>
      <c r="J1657" s="1">
        <v>0.53469999999999995</v>
      </c>
      <c r="K1657" s="1">
        <v>0.98</v>
      </c>
      <c r="L1657" s="1">
        <v>0.1799</v>
      </c>
      <c r="M1657" s="1">
        <v>0.42509999999999998</v>
      </c>
      <c r="O1657" s="1">
        <v>0.81269999999999998</v>
      </c>
      <c r="Q1657" s="1">
        <v>0.79869999999999997</v>
      </c>
      <c r="R1657" s="1">
        <v>0.73609999999999998</v>
      </c>
      <c r="S1657" s="1">
        <v>0.85089999999999999</v>
      </c>
      <c r="T1657" s="1">
        <v>0.47049999999999997</v>
      </c>
    </row>
    <row r="1658" spans="1:20" x14ac:dyDescent="0.25">
      <c r="A1658" t="s">
        <v>203</v>
      </c>
      <c r="B1658" t="s">
        <v>229</v>
      </c>
      <c r="C1658">
        <v>370</v>
      </c>
      <c r="D1658" t="s">
        <v>199</v>
      </c>
      <c r="E1658">
        <v>2632</v>
      </c>
      <c r="F1658" s="1">
        <v>0.32740000000000002</v>
      </c>
      <c r="G1658" s="1">
        <v>3.9300000000000002E-2</v>
      </c>
      <c r="H1658" s="1">
        <v>0.97160000000000002</v>
      </c>
      <c r="I1658" s="1">
        <v>5.9999999999999995E-4</v>
      </c>
      <c r="J1658" s="1">
        <v>0.69020000000000004</v>
      </c>
      <c r="K1658" s="1">
        <v>0.99739999999999995</v>
      </c>
      <c r="L1658" s="1">
        <v>3.61E-2</v>
      </c>
      <c r="M1658" s="1">
        <v>0.41260000000000002</v>
      </c>
      <c r="N1658" s="1">
        <v>1.2999999999999999E-3</v>
      </c>
      <c r="O1658" s="1">
        <v>0.91400000000000003</v>
      </c>
      <c r="Q1658" s="1">
        <v>0.1232</v>
      </c>
      <c r="R1658" s="1">
        <v>0.72360000000000002</v>
      </c>
      <c r="S1658" s="1">
        <v>0.95530000000000004</v>
      </c>
      <c r="T1658" s="1">
        <v>0.68769999999999998</v>
      </c>
    </row>
    <row r="1659" spans="1:20" x14ac:dyDescent="0.25">
      <c r="A1659" t="s">
        <v>203</v>
      </c>
      <c r="B1659" t="s">
        <v>228</v>
      </c>
      <c r="C1659">
        <v>150</v>
      </c>
      <c r="D1659" t="s">
        <v>199</v>
      </c>
      <c r="E1659">
        <v>2632</v>
      </c>
      <c r="F1659" s="1">
        <v>0.29020000000000001</v>
      </c>
      <c r="G1659" s="1">
        <v>1.6500000000000001E-2</v>
      </c>
      <c r="H1659" s="1">
        <v>0.89590000000000003</v>
      </c>
      <c r="J1659" s="1">
        <v>0.67869999999999997</v>
      </c>
      <c r="K1659" s="1">
        <v>0.98750000000000004</v>
      </c>
      <c r="L1659" s="1">
        <v>0.1615</v>
      </c>
      <c r="M1659" s="1">
        <v>0.52849999999999997</v>
      </c>
      <c r="N1659" s="1">
        <v>5.8999999999999999E-3</v>
      </c>
      <c r="O1659" s="1">
        <v>0.82789999999999997</v>
      </c>
      <c r="P1659" s="1">
        <v>8.9999999999999998E-4</v>
      </c>
      <c r="Q1659" s="1">
        <v>0.15340000000000001</v>
      </c>
      <c r="R1659" s="1">
        <v>0.7006</v>
      </c>
      <c r="S1659" s="1">
        <v>0.86529999999999996</v>
      </c>
      <c r="T1659" s="1">
        <v>0.43130000000000002</v>
      </c>
    </row>
    <row r="1660" spans="1:20" x14ac:dyDescent="0.25">
      <c r="A1660" t="s">
        <v>203</v>
      </c>
      <c r="B1660" t="s">
        <v>229</v>
      </c>
      <c r="C1660">
        <v>347</v>
      </c>
      <c r="D1660" t="s">
        <v>200</v>
      </c>
      <c r="E1660">
        <v>2632</v>
      </c>
      <c r="F1660" s="1">
        <v>0.36130000000000001</v>
      </c>
      <c r="G1660" s="1">
        <v>5.7200000000000001E-2</v>
      </c>
      <c r="H1660" s="1">
        <v>0.97419999999999995</v>
      </c>
      <c r="J1660" s="1">
        <v>0.68</v>
      </c>
      <c r="K1660" s="1">
        <v>0.99990000000000001</v>
      </c>
      <c r="L1660" s="1">
        <v>3.0700000000000002E-2</v>
      </c>
      <c r="M1660" s="1">
        <v>0.32829999999999998</v>
      </c>
      <c r="O1660" s="1">
        <v>0.88349999999999995</v>
      </c>
      <c r="Q1660" s="1">
        <v>0.21240000000000001</v>
      </c>
      <c r="R1660" s="1">
        <v>0.88109999999999999</v>
      </c>
      <c r="S1660" s="1">
        <v>0.94310000000000005</v>
      </c>
      <c r="T1660" s="1">
        <v>0.51229999999999998</v>
      </c>
    </row>
    <row r="1661" spans="1:20" x14ac:dyDescent="0.25">
      <c r="A1661" t="s">
        <v>203</v>
      </c>
      <c r="B1661" t="s">
        <v>228</v>
      </c>
      <c r="C1661">
        <v>155</v>
      </c>
      <c r="D1661" t="s">
        <v>200</v>
      </c>
      <c r="E1661">
        <v>2632</v>
      </c>
      <c r="F1661" s="1">
        <v>0.31509999999999999</v>
      </c>
      <c r="G1661" s="1">
        <v>0.14069999999999999</v>
      </c>
      <c r="H1661" s="1">
        <v>0.99460000000000004</v>
      </c>
      <c r="J1661" s="1">
        <v>0.7006</v>
      </c>
      <c r="K1661" s="1">
        <v>0.99939999999999996</v>
      </c>
      <c r="L1661" s="1">
        <v>0.10639999999999999</v>
      </c>
      <c r="M1661" s="1">
        <v>0.2666</v>
      </c>
      <c r="O1661" s="1">
        <v>0.9052</v>
      </c>
      <c r="Q1661" s="1">
        <v>5.74E-2</v>
      </c>
      <c r="R1661" s="1">
        <v>0.88190000000000002</v>
      </c>
      <c r="S1661" s="1">
        <v>0.96009999999999995</v>
      </c>
      <c r="T1661" s="1">
        <v>0.28560000000000002</v>
      </c>
    </row>
    <row r="1662" spans="1:20" x14ac:dyDescent="0.25">
      <c r="A1662" t="s">
        <v>203</v>
      </c>
      <c r="B1662" t="s">
        <v>229</v>
      </c>
      <c r="C1662">
        <v>137</v>
      </c>
      <c r="D1662" t="s">
        <v>201</v>
      </c>
      <c r="E1662">
        <v>2632</v>
      </c>
      <c r="F1662" s="1">
        <v>0.17580000000000001</v>
      </c>
      <c r="G1662" s="1">
        <v>4.48E-2</v>
      </c>
      <c r="H1662" s="1">
        <v>0.95209999999999995</v>
      </c>
      <c r="J1662" s="1">
        <v>0.76019999999999999</v>
      </c>
      <c r="K1662" s="1">
        <v>0.98529999999999995</v>
      </c>
      <c r="L1662" s="1">
        <v>0.13289999999999999</v>
      </c>
      <c r="M1662" s="1">
        <v>0.53249999999999997</v>
      </c>
      <c r="O1662" s="1">
        <v>0.87329999999999997</v>
      </c>
      <c r="Q1662" s="1">
        <v>9.2399999999999996E-2</v>
      </c>
      <c r="R1662" s="1">
        <v>0.85319999999999996</v>
      </c>
      <c r="S1662" s="1">
        <v>0.98319999999999996</v>
      </c>
      <c r="T1662" s="1">
        <v>0.34160000000000001</v>
      </c>
    </row>
    <row r="1663" spans="1:20" x14ac:dyDescent="0.25">
      <c r="A1663" t="s">
        <v>203</v>
      </c>
      <c r="B1663" t="s">
        <v>228</v>
      </c>
      <c r="C1663">
        <v>176</v>
      </c>
      <c r="D1663" t="s">
        <v>201</v>
      </c>
      <c r="E1663">
        <v>2632</v>
      </c>
      <c r="F1663" s="1">
        <v>0.1983</v>
      </c>
      <c r="G1663" s="1">
        <v>8.0000000000000004E-4</v>
      </c>
      <c r="H1663" s="1">
        <v>0.98929999999999996</v>
      </c>
      <c r="J1663" s="1">
        <v>0.7107</v>
      </c>
      <c r="K1663" s="1">
        <v>0.99839999999999995</v>
      </c>
      <c r="L1663" s="1">
        <v>0.40710000000000002</v>
      </c>
      <c r="M1663" s="1">
        <v>0.35680000000000001</v>
      </c>
      <c r="O1663" s="1">
        <v>0.75860000000000005</v>
      </c>
      <c r="Q1663" s="1">
        <v>7.3000000000000001E-3</v>
      </c>
      <c r="R1663" s="1">
        <v>0.71550000000000002</v>
      </c>
      <c r="S1663" s="1">
        <v>0.96989999999999998</v>
      </c>
      <c r="T1663" s="1">
        <v>0.42470000000000002</v>
      </c>
    </row>
    <row r="1664" spans="1:20" x14ac:dyDescent="0.25">
      <c r="A1664" t="s">
        <v>203</v>
      </c>
      <c r="B1664" t="s">
        <v>228</v>
      </c>
      <c r="C1664">
        <v>34</v>
      </c>
      <c r="D1664" t="s">
        <v>202</v>
      </c>
      <c r="E1664">
        <v>2632</v>
      </c>
      <c r="F1664" s="1">
        <v>0.16059999999999999</v>
      </c>
      <c r="G1664" s="1">
        <v>9.8799999999999999E-2</v>
      </c>
      <c r="H1664" s="1">
        <v>0.98250000000000004</v>
      </c>
      <c r="J1664" s="1">
        <v>0.76690000000000003</v>
      </c>
      <c r="K1664" s="1">
        <v>1</v>
      </c>
      <c r="L1664" s="1">
        <v>0.10100000000000001</v>
      </c>
      <c r="M1664" s="1">
        <v>0.4667</v>
      </c>
      <c r="O1664" s="1">
        <v>0.98250000000000004</v>
      </c>
      <c r="R1664" s="1">
        <v>0.79590000000000005</v>
      </c>
      <c r="S1664" s="1">
        <v>1</v>
      </c>
      <c r="T1664" s="1">
        <v>0.31030000000000002</v>
      </c>
    </row>
    <row r="1665" spans="1:20" x14ac:dyDescent="0.25">
      <c r="A1665" t="s">
        <v>203</v>
      </c>
      <c r="B1665" t="s">
        <v>229</v>
      </c>
      <c r="C1665">
        <v>56</v>
      </c>
      <c r="D1665" t="s">
        <v>202</v>
      </c>
      <c r="E1665">
        <v>2632</v>
      </c>
      <c r="F1665" s="1">
        <v>0.1409</v>
      </c>
      <c r="G1665" s="1">
        <v>3.1E-2</v>
      </c>
      <c r="H1665" s="1">
        <v>0.97230000000000005</v>
      </c>
      <c r="I1665" s="1">
        <v>1.43E-2</v>
      </c>
      <c r="J1665" s="1">
        <v>0.72619999999999996</v>
      </c>
      <c r="K1665" s="1">
        <v>0.98570000000000002</v>
      </c>
      <c r="L1665" s="1">
        <v>0.14319999999999999</v>
      </c>
      <c r="M1665" s="1">
        <v>0.60189999999999999</v>
      </c>
      <c r="O1665" s="1">
        <v>0.78500000000000003</v>
      </c>
      <c r="Q1665" s="1">
        <v>0.25119999999999998</v>
      </c>
      <c r="R1665" s="1">
        <v>0.89929999999999999</v>
      </c>
      <c r="S1665" s="1">
        <v>0.91510000000000002</v>
      </c>
      <c r="T1665" s="1">
        <v>0.62819999999999998</v>
      </c>
    </row>
    <row r="1666" spans="1:20" x14ac:dyDescent="0.25">
      <c r="A1666" t="s">
        <v>204</v>
      </c>
      <c r="B1666" t="s">
        <v>204</v>
      </c>
      <c r="C1666">
        <v>2632</v>
      </c>
      <c r="D1666" t="s">
        <v>204</v>
      </c>
      <c r="E1666">
        <v>2632</v>
      </c>
      <c r="F1666" s="1">
        <v>0.21679999999999999</v>
      </c>
      <c r="G1666" s="1">
        <v>5.4699999999999999E-2</v>
      </c>
      <c r="H1666" s="1">
        <v>0.94879999999999998</v>
      </c>
      <c r="I1666" s="1">
        <v>5.9999999999999995E-4</v>
      </c>
      <c r="J1666" s="1">
        <v>0.63329999999999997</v>
      </c>
      <c r="K1666" s="1">
        <v>0.99339999999999995</v>
      </c>
      <c r="L1666" s="1">
        <v>8.5800000000000001E-2</v>
      </c>
      <c r="M1666" s="1">
        <v>0.36370000000000002</v>
      </c>
      <c r="N1666" s="1">
        <v>5.0000000000000001E-4</v>
      </c>
      <c r="O1666" s="1">
        <v>0.84919999999999995</v>
      </c>
      <c r="P1666" s="1">
        <v>1.1000000000000001E-3</v>
      </c>
      <c r="Q1666" s="1">
        <v>0.36099999999999999</v>
      </c>
      <c r="R1666" s="1">
        <v>0.76970000000000005</v>
      </c>
      <c r="S1666" s="1">
        <v>0.92300000000000004</v>
      </c>
      <c r="T1666" s="1">
        <v>0.50629999999999997</v>
      </c>
    </row>
    <row r="1668" spans="1:20" x14ac:dyDescent="0.25">
      <c r="A1668" t="s">
        <v>479</v>
      </c>
    </row>
    <row r="1669" spans="1:20" x14ac:dyDescent="0.25">
      <c r="A1669" t="s">
        <v>190</v>
      </c>
      <c r="B1669" t="s">
        <v>206</v>
      </c>
      <c r="C1669" t="s">
        <v>195</v>
      </c>
      <c r="D1669" t="s">
        <v>189</v>
      </c>
      <c r="E1669" t="s">
        <v>196</v>
      </c>
      <c r="F1669" t="s">
        <v>466</v>
      </c>
      <c r="G1669" t="s">
        <v>467</v>
      </c>
      <c r="H1669" t="s">
        <v>468</v>
      </c>
      <c r="I1669" t="s">
        <v>220</v>
      </c>
      <c r="J1669" t="s">
        <v>469</v>
      </c>
      <c r="K1669" t="s">
        <v>470</v>
      </c>
      <c r="L1669" t="s">
        <v>471</v>
      </c>
      <c r="M1669" t="s">
        <v>472</v>
      </c>
      <c r="N1669" t="s">
        <v>271</v>
      </c>
      <c r="O1669" t="s">
        <v>473</v>
      </c>
      <c r="P1669" t="s">
        <v>215</v>
      </c>
      <c r="Q1669" t="s">
        <v>474</v>
      </c>
      <c r="R1669" t="s">
        <v>475</v>
      </c>
      <c r="S1669" t="s">
        <v>476</v>
      </c>
      <c r="T1669" t="s">
        <v>477</v>
      </c>
    </row>
    <row r="1670" spans="1:20" x14ac:dyDescent="0.25">
      <c r="A1670" t="s">
        <v>198</v>
      </c>
      <c r="B1670" t="s">
        <v>348</v>
      </c>
      <c r="C1670">
        <v>79</v>
      </c>
      <c r="D1670" t="s">
        <v>197</v>
      </c>
      <c r="E1670">
        <v>2632</v>
      </c>
      <c r="F1670" s="1">
        <v>0.1628</v>
      </c>
      <c r="H1670" s="1">
        <v>0.93859999999999999</v>
      </c>
      <c r="J1670" s="1">
        <v>0.41170000000000001</v>
      </c>
      <c r="K1670" s="1">
        <v>0.98580000000000001</v>
      </c>
      <c r="L1670" s="1">
        <v>0.12529999999999999</v>
      </c>
      <c r="M1670" s="1">
        <v>0.37719999999999998</v>
      </c>
      <c r="O1670" s="1">
        <v>0.81979999999999997</v>
      </c>
      <c r="P1670" s="1">
        <v>1.4200000000000001E-2</v>
      </c>
      <c r="Q1670" s="1">
        <v>0.39069999999999999</v>
      </c>
      <c r="R1670" s="1">
        <v>0.66200000000000003</v>
      </c>
      <c r="S1670" s="1">
        <v>0.80559999999999998</v>
      </c>
      <c r="T1670" s="1">
        <v>0.4501</v>
      </c>
    </row>
    <row r="1671" spans="1:20" s="29" customFormat="1" x14ac:dyDescent="0.25">
      <c r="A1671" s="29" t="s">
        <v>198</v>
      </c>
      <c r="B1671" s="29" t="s">
        <v>349</v>
      </c>
      <c r="C1671" s="29">
        <v>3</v>
      </c>
      <c r="D1671" s="29" t="s">
        <v>197</v>
      </c>
      <c r="E1671" s="29">
        <v>2632</v>
      </c>
      <c r="H1671" s="30">
        <v>0.66669999999999996</v>
      </c>
      <c r="K1671" s="30">
        <v>1</v>
      </c>
      <c r="L1671" s="30">
        <v>0.33329999999999999</v>
      </c>
      <c r="M1671" s="30">
        <v>0.33329999999999999</v>
      </c>
      <c r="O1671" s="30">
        <v>1</v>
      </c>
      <c r="R1671" s="30">
        <v>0.66669999999999996</v>
      </c>
      <c r="S1671" s="30">
        <v>0.33329999999999999</v>
      </c>
      <c r="T1671" s="30">
        <v>0.66669999999999996</v>
      </c>
    </row>
    <row r="1672" spans="1:20" x14ac:dyDescent="0.25">
      <c r="A1672" t="s">
        <v>198</v>
      </c>
      <c r="B1672" t="s">
        <v>348</v>
      </c>
      <c r="C1672">
        <v>54</v>
      </c>
      <c r="D1672" t="s">
        <v>199</v>
      </c>
      <c r="E1672">
        <v>2632</v>
      </c>
      <c r="F1672" s="1">
        <v>9.5500000000000002E-2</v>
      </c>
      <c r="G1672" s="1">
        <v>7.7000000000000002E-3</v>
      </c>
      <c r="H1672" s="1">
        <v>0.99619999999999997</v>
      </c>
      <c r="J1672" s="1">
        <v>0.64829999999999999</v>
      </c>
      <c r="K1672" s="1">
        <v>1</v>
      </c>
      <c r="L1672" s="1">
        <v>4.9700000000000001E-2</v>
      </c>
      <c r="M1672" s="1">
        <v>0.30409999999999998</v>
      </c>
      <c r="O1672" s="1">
        <v>0.90180000000000005</v>
      </c>
      <c r="Q1672" s="1">
        <v>0.4904</v>
      </c>
      <c r="R1672" s="1">
        <v>0.71289999999999998</v>
      </c>
      <c r="S1672" s="1">
        <v>0.91890000000000005</v>
      </c>
      <c r="T1672" s="1">
        <v>0.59570000000000001</v>
      </c>
    </row>
    <row r="1673" spans="1:20" x14ac:dyDescent="0.25">
      <c r="A1673" t="s">
        <v>198</v>
      </c>
      <c r="B1673" t="s">
        <v>349</v>
      </c>
      <c r="C1673">
        <v>111</v>
      </c>
      <c r="D1673" t="s">
        <v>199</v>
      </c>
      <c r="E1673">
        <v>2632</v>
      </c>
      <c r="F1673" s="1">
        <v>0.19400000000000001</v>
      </c>
      <c r="G1673" s="1">
        <v>8.4000000000000005E-2</v>
      </c>
      <c r="H1673" s="1">
        <v>0.95120000000000005</v>
      </c>
      <c r="J1673" s="1">
        <v>0.68159999999999998</v>
      </c>
      <c r="K1673" s="1">
        <v>0.99729999999999996</v>
      </c>
      <c r="L1673" s="1">
        <v>8.7499999999999994E-2</v>
      </c>
      <c r="M1673" s="1">
        <v>0.1903</v>
      </c>
      <c r="N1673" s="1">
        <v>6.9999999999999999E-4</v>
      </c>
      <c r="O1673" s="1">
        <v>0.75139999999999996</v>
      </c>
      <c r="Q1673" s="1">
        <v>0.6573</v>
      </c>
      <c r="R1673" s="1">
        <v>0.66949999999999998</v>
      </c>
      <c r="S1673" s="1">
        <v>0.96240000000000003</v>
      </c>
      <c r="T1673" s="1">
        <v>0.62339999999999995</v>
      </c>
    </row>
    <row r="1674" spans="1:20" x14ac:dyDescent="0.25">
      <c r="A1674" t="s">
        <v>198</v>
      </c>
      <c r="B1674" t="s">
        <v>350</v>
      </c>
      <c r="C1674">
        <v>193</v>
      </c>
      <c r="D1674" t="s">
        <v>199</v>
      </c>
      <c r="E1674">
        <v>2632</v>
      </c>
      <c r="F1674" s="1">
        <v>0.13250000000000001</v>
      </c>
      <c r="G1674" s="1">
        <v>8.8599999999999998E-2</v>
      </c>
      <c r="H1674" s="1">
        <v>0.92369999999999997</v>
      </c>
      <c r="J1674" s="1">
        <v>0.52569999999999995</v>
      </c>
      <c r="K1674" s="1">
        <v>0.99509999999999998</v>
      </c>
      <c r="L1674" s="1">
        <v>6.0100000000000001E-2</v>
      </c>
      <c r="M1674" s="1">
        <v>0.4657</v>
      </c>
      <c r="O1674" s="1">
        <v>0.78349999999999997</v>
      </c>
      <c r="Q1674" s="1">
        <v>0.62909999999999999</v>
      </c>
      <c r="R1674" s="1">
        <v>0.55079999999999996</v>
      </c>
      <c r="S1674" s="1">
        <v>0.93259999999999998</v>
      </c>
      <c r="T1674" s="1">
        <v>0.57310000000000005</v>
      </c>
    </row>
    <row r="1675" spans="1:20" x14ac:dyDescent="0.25">
      <c r="A1675" t="s">
        <v>198</v>
      </c>
      <c r="B1675" t="s">
        <v>350</v>
      </c>
      <c r="C1675">
        <v>78</v>
      </c>
      <c r="D1675" t="s">
        <v>200</v>
      </c>
      <c r="E1675">
        <v>2632</v>
      </c>
      <c r="G1675" s="1">
        <v>4.3400000000000001E-2</v>
      </c>
      <c r="H1675" s="1">
        <v>0.86639999999999995</v>
      </c>
      <c r="J1675" s="1">
        <v>0.53580000000000005</v>
      </c>
      <c r="K1675" s="1">
        <v>0.99860000000000004</v>
      </c>
      <c r="L1675" s="1">
        <v>0.1981</v>
      </c>
      <c r="M1675" s="1">
        <v>0.29380000000000001</v>
      </c>
      <c r="O1675" s="1">
        <v>0.81259999999999999</v>
      </c>
      <c r="Q1675" s="1">
        <v>0.58650000000000002</v>
      </c>
      <c r="R1675" s="1">
        <v>0.74950000000000006</v>
      </c>
      <c r="S1675" s="1">
        <v>0.97419999999999995</v>
      </c>
      <c r="T1675" s="1">
        <v>0.34670000000000001</v>
      </c>
    </row>
    <row r="1676" spans="1:20" x14ac:dyDescent="0.25">
      <c r="A1676" t="s">
        <v>198</v>
      </c>
      <c r="B1676" t="s">
        <v>348</v>
      </c>
      <c r="C1676">
        <v>242</v>
      </c>
      <c r="D1676" t="s">
        <v>200</v>
      </c>
      <c r="E1676">
        <v>2632</v>
      </c>
      <c r="F1676" s="1">
        <v>8.2000000000000003E-2</v>
      </c>
      <c r="G1676" s="1">
        <v>2.4500000000000001E-2</v>
      </c>
      <c r="H1676" s="1">
        <v>0.91190000000000004</v>
      </c>
      <c r="J1676" s="1">
        <v>0.59219999999999995</v>
      </c>
      <c r="K1676" s="1">
        <v>0.99070000000000003</v>
      </c>
      <c r="L1676" s="1">
        <v>8.0399999999999999E-2</v>
      </c>
      <c r="M1676" s="1">
        <v>0.33760000000000001</v>
      </c>
      <c r="N1676" s="1">
        <v>2E-3</v>
      </c>
      <c r="O1676" s="1">
        <v>0.81230000000000002</v>
      </c>
      <c r="P1676" s="1">
        <v>2E-3</v>
      </c>
      <c r="Q1676" s="1">
        <v>0.66169999999999995</v>
      </c>
      <c r="R1676" s="1">
        <v>0.7268</v>
      </c>
      <c r="S1676" s="1">
        <v>0.93030000000000002</v>
      </c>
      <c r="T1676" s="1">
        <v>0.52249999999999996</v>
      </c>
    </row>
    <row r="1677" spans="1:20" x14ac:dyDescent="0.25">
      <c r="A1677" t="s">
        <v>198</v>
      </c>
      <c r="B1677" t="s">
        <v>349</v>
      </c>
      <c r="C1677">
        <v>62</v>
      </c>
      <c r="D1677" t="s">
        <v>200</v>
      </c>
      <c r="E1677">
        <v>2632</v>
      </c>
      <c r="F1677" s="1">
        <v>9.3299999999999994E-2</v>
      </c>
      <c r="G1677" s="1">
        <v>1.55E-2</v>
      </c>
      <c r="H1677" s="1">
        <v>0.9194</v>
      </c>
      <c r="J1677" s="1">
        <v>0.70409999999999995</v>
      </c>
      <c r="K1677" s="1">
        <v>1</v>
      </c>
      <c r="L1677" s="1">
        <v>0.15759999999999999</v>
      </c>
      <c r="M1677" s="1">
        <v>0.34649999999999997</v>
      </c>
      <c r="O1677" s="1">
        <v>0.9012</v>
      </c>
      <c r="Q1677" s="1">
        <v>0.30330000000000001</v>
      </c>
      <c r="R1677" s="1">
        <v>0.74839999999999995</v>
      </c>
      <c r="S1677" s="1">
        <v>0.99829999999999997</v>
      </c>
      <c r="T1677" s="1">
        <v>0.31590000000000001</v>
      </c>
    </row>
    <row r="1678" spans="1:20" x14ac:dyDescent="0.25">
      <c r="A1678" t="s">
        <v>198</v>
      </c>
      <c r="B1678" t="s">
        <v>349</v>
      </c>
      <c r="C1678">
        <v>125</v>
      </c>
      <c r="D1678" t="s">
        <v>201</v>
      </c>
      <c r="E1678">
        <v>2632</v>
      </c>
      <c r="F1678" s="1">
        <v>0.1346</v>
      </c>
      <c r="G1678" s="1">
        <v>6.7599999999999993E-2</v>
      </c>
      <c r="H1678" s="1">
        <v>0.90010000000000001</v>
      </c>
      <c r="J1678" s="1">
        <v>0.65090000000000003</v>
      </c>
      <c r="K1678" s="1">
        <v>0.97</v>
      </c>
      <c r="L1678" s="1">
        <v>6.9500000000000006E-2</v>
      </c>
      <c r="M1678" s="1">
        <v>0.38969999999999999</v>
      </c>
      <c r="O1678" s="1">
        <v>0.79720000000000002</v>
      </c>
      <c r="Q1678" s="1">
        <v>0.73560000000000003</v>
      </c>
      <c r="R1678" s="1">
        <v>0.78280000000000005</v>
      </c>
      <c r="S1678" s="1">
        <v>0.92969999999999997</v>
      </c>
      <c r="T1678" s="1">
        <v>0.51590000000000003</v>
      </c>
    </row>
    <row r="1679" spans="1:20" x14ac:dyDescent="0.25">
      <c r="A1679" t="s">
        <v>198</v>
      </c>
      <c r="B1679" t="s">
        <v>350</v>
      </c>
      <c r="C1679">
        <v>63</v>
      </c>
      <c r="D1679" t="s">
        <v>201</v>
      </c>
      <c r="E1679">
        <v>2632</v>
      </c>
      <c r="F1679" s="1">
        <v>2.86E-2</v>
      </c>
      <c r="G1679" s="1">
        <v>1.3899999999999999E-2</v>
      </c>
      <c r="H1679" s="1">
        <v>0.78200000000000003</v>
      </c>
      <c r="J1679" s="1">
        <v>0.33460000000000001</v>
      </c>
      <c r="K1679" s="1">
        <v>0.94979999999999998</v>
      </c>
      <c r="L1679" s="1">
        <v>0.16969999999999999</v>
      </c>
      <c r="M1679" s="1">
        <v>0.34449999999999997</v>
      </c>
      <c r="N1679" s="1">
        <v>1.47E-2</v>
      </c>
      <c r="O1679" s="1">
        <v>0.5514</v>
      </c>
      <c r="P1679" s="1">
        <v>6.8999999999999999E-3</v>
      </c>
      <c r="Q1679" s="1">
        <v>0.3286</v>
      </c>
      <c r="R1679" s="1">
        <v>0.55420000000000003</v>
      </c>
      <c r="S1679" s="1">
        <v>0.85809999999999997</v>
      </c>
      <c r="T1679" s="1">
        <v>0.49680000000000002</v>
      </c>
    </row>
    <row r="1680" spans="1:20" x14ac:dyDescent="0.25">
      <c r="A1680" t="s">
        <v>198</v>
      </c>
      <c r="B1680" t="s">
        <v>348</v>
      </c>
      <c r="C1680">
        <v>62</v>
      </c>
      <c r="D1680" t="s">
        <v>201</v>
      </c>
      <c r="E1680">
        <v>2632</v>
      </c>
      <c r="F1680" s="1">
        <v>8.4500000000000006E-2</v>
      </c>
      <c r="G1680" s="1">
        <v>7.17E-2</v>
      </c>
      <c r="H1680" s="1">
        <v>0.89090000000000003</v>
      </c>
      <c r="J1680" s="1">
        <v>0.53810000000000002</v>
      </c>
      <c r="K1680" s="1">
        <v>1</v>
      </c>
      <c r="L1680" s="1">
        <v>0.1298</v>
      </c>
      <c r="M1680" s="1">
        <v>0.17280000000000001</v>
      </c>
      <c r="O1680" s="1">
        <v>0.77610000000000001</v>
      </c>
      <c r="Q1680" s="1">
        <v>0.36859999999999998</v>
      </c>
      <c r="R1680" s="1">
        <v>0.66520000000000001</v>
      </c>
      <c r="S1680" s="1">
        <v>0.92420000000000002</v>
      </c>
      <c r="T1680" s="1">
        <v>0.59370000000000001</v>
      </c>
    </row>
    <row r="1681" spans="1:47" x14ac:dyDescent="0.25">
      <c r="A1681" t="s">
        <v>198</v>
      </c>
      <c r="B1681" t="s">
        <v>348</v>
      </c>
      <c r="C1681">
        <v>96</v>
      </c>
      <c r="D1681" t="s">
        <v>202</v>
      </c>
      <c r="E1681">
        <v>2632</v>
      </c>
      <c r="F1681" s="1">
        <v>4.8500000000000001E-2</v>
      </c>
      <c r="G1681" s="1">
        <v>7.85E-2</v>
      </c>
      <c r="H1681" s="1">
        <v>0.91830000000000001</v>
      </c>
      <c r="J1681" s="1">
        <v>0.53129999999999999</v>
      </c>
      <c r="K1681" s="1">
        <v>0.98470000000000002</v>
      </c>
      <c r="L1681" s="1">
        <v>0.156</v>
      </c>
      <c r="M1681" s="1">
        <v>0.3664</v>
      </c>
      <c r="O1681" s="1">
        <v>0.83919999999999995</v>
      </c>
      <c r="Q1681" s="1">
        <v>0.67949999999999999</v>
      </c>
      <c r="R1681" s="1">
        <v>0.73180000000000001</v>
      </c>
      <c r="S1681" s="1">
        <v>0.81710000000000005</v>
      </c>
      <c r="T1681" s="1">
        <v>0.39689999999999998</v>
      </c>
    </row>
    <row r="1682" spans="1:47" x14ac:dyDescent="0.25">
      <c r="A1682" t="s">
        <v>203</v>
      </c>
      <c r="B1682" t="s">
        <v>349</v>
      </c>
      <c r="C1682">
        <v>171</v>
      </c>
      <c r="D1682" t="s">
        <v>199</v>
      </c>
      <c r="E1682">
        <v>2632</v>
      </c>
      <c r="F1682" s="1">
        <v>0.21659999999999999</v>
      </c>
      <c r="G1682" s="1">
        <v>6.4000000000000003E-3</v>
      </c>
      <c r="H1682" s="1">
        <v>0.95950000000000002</v>
      </c>
      <c r="I1682" s="1">
        <v>1.6999999999999999E-3</v>
      </c>
      <c r="J1682" s="1">
        <v>0.65639999999999998</v>
      </c>
      <c r="K1682" s="1">
        <v>0.99509999999999998</v>
      </c>
      <c r="L1682" s="1">
        <v>7.17E-2</v>
      </c>
      <c r="M1682" s="1">
        <v>0.27389999999999998</v>
      </c>
      <c r="O1682" s="1">
        <v>0.93799999999999994</v>
      </c>
      <c r="Q1682" s="1">
        <v>8.5099999999999995E-2</v>
      </c>
      <c r="R1682" s="1">
        <v>0.81720000000000004</v>
      </c>
      <c r="S1682" s="1">
        <v>0.98199999999999998</v>
      </c>
      <c r="T1682" s="1">
        <v>0.61599999999999999</v>
      </c>
    </row>
    <row r="1683" spans="1:47" x14ac:dyDescent="0.25">
      <c r="A1683" t="s">
        <v>203</v>
      </c>
      <c r="B1683" t="s">
        <v>348</v>
      </c>
      <c r="C1683">
        <v>42</v>
      </c>
      <c r="D1683" t="s">
        <v>199</v>
      </c>
      <c r="E1683">
        <v>2632</v>
      </c>
      <c r="F1683" s="1">
        <v>0.29320000000000002</v>
      </c>
      <c r="H1683" s="1">
        <v>0.99490000000000001</v>
      </c>
      <c r="J1683" s="1">
        <v>0.79610000000000003</v>
      </c>
      <c r="K1683" s="1">
        <v>1</v>
      </c>
      <c r="L1683" s="1">
        <v>3.1800000000000002E-2</v>
      </c>
      <c r="M1683" s="1">
        <v>0.2636</v>
      </c>
      <c r="O1683" s="1">
        <v>0.8609</v>
      </c>
      <c r="Q1683" s="1">
        <v>0.27810000000000001</v>
      </c>
      <c r="R1683" s="1">
        <v>0.79910000000000003</v>
      </c>
      <c r="S1683" s="1">
        <v>0.99</v>
      </c>
      <c r="T1683" s="1">
        <v>0.78469999999999995</v>
      </c>
    </row>
    <row r="1684" spans="1:47" x14ac:dyDescent="0.25">
      <c r="A1684" t="s">
        <v>203</v>
      </c>
      <c r="B1684" t="s">
        <v>350</v>
      </c>
      <c r="C1684">
        <v>307</v>
      </c>
      <c r="D1684" t="s">
        <v>199</v>
      </c>
      <c r="E1684">
        <v>2632</v>
      </c>
      <c r="F1684" s="1">
        <v>0.38030000000000003</v>
      </c>
      <c r="G1684" s="1">
        <v>5.5E-2</v>
      </c>
      <c r="H1684" s="1">
        <v>0.96360000000000001</v>
      </c>
      <c r="J1684" s="1">
        <v>0.6986</v>
      </c>
      <c r="K1684" s="1">
        <v>0.99680000000000002</v>
      </c>
      <c r="L1684" s="1">
        <v>3.9E-2</v>
      </c>
      <c r="M1684" s="1">
        <v>0.51290000000000002</v>
      </c>
      <c r="N1684" s="1">
        <v>2.8999999999999998E-3</v>
      </c>
      <c r="O1684" s="1">
        <v>0.89090000000000003</v>
      </c>
      <c r="P1684" s="1">
        <v>1E-4</v>
      </c>
      <c r="Q1684" s="1">
        <v>0.13739999999999999</v>
      </c>
      <c r="R1684" s="1">
        <v>0.66679999999999995</v>
      </c>
      <c r="S1684" s="1">
        <v>0.92430000000000001</v>
      </c>
      <c r="T1684" s="1">
        <v>0.6754</v>
      </c>
    </row>
    <row r="1685" spans="1:47" x14ac:dyDescent="0.25">
      <c r="A1685" t="s">
        <v>203</v>
      </c>
      <c r="B1685" t="s">
        <v>348</v>
      </c>
      <c r="C1685">
        <v>300</v>
      </c>
      <c r="D1685" t="s">
        <v>200</v>
      </c>
      <c r="E1685">
        <v>2632</v>
      </c>
      <c r="F1685" s="1">
        <v>0.3826</v>
      </c>
      <c r="G1685" s="1">
        <v>7.5399999999999995E-2</v>
      </c>
      <c r="H1685" s="1">
        <v>0.98460000000000003</v>
      </c>
      <c r="J1685" s="1">
        <v>0.68840000000000001</v>
      </c>
      <c r="K1685" s="1">
        <v>1</v>
      </c>
      <c r="L1685" s="1">
        <v>3.85E-2</v>
      </c>
      <c r="M1685" s="1">
        <v>0.31440000000000001</v>
      </c>
      <c r="O1685" s="1">
        <v>0.87839999999999996</v>
      </c>
      <c r="Q1685" s="1">
        <v>0.18920000000000001</v>
      </c>
      <c r="R1685" s="1">
        <v>0.88519999999999999</v>
      </c>
      <c r="S1685" s="1">
        <v>0.94310000000000005</v>
      </c>
      <c r="T1685" s="1">
        <v>0.47420000000000001</v>
      </c>
    </row>
    <row r="1686" spans="1:47" x14ac:dyDescent="0.25">
      <c r="A1686" t="s">
        <v>203</v>
      </c>
      <c r="B1686" t="s">
        <v>349</v>
      </c>
      <c r="C1686">
        <v>108</v>
      </c>
      <c r="D1686" t="s">
        <v>200</v>
      </c>
      <c r="E1686">
        <v>2632</v>
      </c>
      <c r="F1686" s="1">
        <v>0.1211</v>
      </c>
      <c r="G1686" s="1">
        <v>3.27E-2</v>
      </c>
      <c r="H1686" s="1">
        <v>0.95279999999999998</v>
      </c>
      <c r="J1686" s="1">
        <v>0.63170000000000004</v>
      </c>
      <c r="K1686" s="1">
        <v>1</v>
      </c>
      <c r="L1686" s="1">
        <v>6.8199999999999997E-2</v>
      </c>
      <c r="M1686" s="1">
        <v>0.27510000000000001</v>
      </c>
      <c r="O1686" s="1">
        <v>0.97450000000000003</v>
      </c>
      <c r="Q1686" s="1">
        <v>0.14860000000000001</v>
      </c>
      <c r="R1686" s="1">
        <v>0.86240000000000006</v>
      </c>
      <c r="S1686" s="1">
        <v>0.97589999999999999</v>
      </c>
      <c r="T1686" s="1">
        <v>0.42949999999999999</v>
      </c>
    </row>
    <row r="1687" spans="1:47" x14ac:dyDescent="0.25">
      <c r="A1687" t="s">
        <v>203</v>
      </c>
      <c r="B1687" t="s">
        <v>350</v>
      </c>
      <c r="C1687">
        <v>94</v>
      </c>
      <c r="D1687" t="s">
        <v>200</v>
      </c>
      <c r="E1687">
        <v>2632</v>
      </c>
      <c r="F1687" s="1">
        <v>0.1031</v>
      </c>
      <c r="G1687" s="1">
        <v>0.1174</v>
      </c>
      <c r="H1687" s="1">
        <v>0.86770000000000003</v>
      </c>
      <c r="J1687" s="1">
        <v>0.69369999999999998</v>
      </c>
      <c r="K1687" s="1">
        <v>0.99309999999999998</v>
      </c>
      <c r="L1687" s="1">
        <v>0.17380000000000001</v>
      </c>
      <c r="M1687" s="1">
        <v>0.46639999999999998</v>
      </c>
      <c r="O1687" s="1">
        <v>0.92620000000000002</v>
      </c>
      <c r="Q1687" s="1">
        <v>8.2600000000000007E-2</v>
      </c>
      <c r="R1687" s="1">
        <v>0.82030000000000003</v>
      </c>
      <c r="S1687" s="1">
        <v>0.96220000000000006</v>
      </c>
      <c r="T1687" s="1">
        <v>0.40860000000000002</v>
      </c>
    </row>
    <row r="1688" spans="1:47" x14ac:dyDescent="0.25">
      <c r="A1688" t="s">
        <v>203</v>
      </c>
      <c r="B1688" t="s">
        <v>348</v>
      </c>
      <c r="C1688">
        <v>62</v>
      </c>
      <c r="D1688" t="s">
        <v>201</v>
      </c>
      <c r="E1688">
        <v>2632</v>
      </c>
      <c r="F1688" s="1">
        <v>0.1087</v>
      </c>
      <c r="H1688" s="1">
        <v>1</v>
      </c>
      <c r="J1688" s="1">
        <v>0.7994</v>
      </c>
      <c r="K1688" s="1">
        <v>1</v>
      </c>
      <c r="L1688" s="1">
        <v>0.4486</v>
      </c>
      <c r="M1688" s="1">
        <v>0.48230000000000001</v>
      </c>
      <c r="O1688" s="1">
        <v>0.94679999999999997</v>
      </c>
      <c r="Q1688" s="1">
        <v>1.78E-2</v>
      </c>
      <c r="R1688" s="1">
        <v>0.69159999999999999</v>
      </c>
      <c r="S1688" s="1">
        <v>0.9748</v>
      </c>
      <c r="T1688" s="1">
        <v>0.29730000000000001</v>
      </c>
    </row>
    <row r="1689" spans="1:47" x14ac:dyDescent="0.25">
      <c r="A1689" t="s">
        <v>203</v>
      </c>
      <c r="B1689" t="s">
        <v>349</v>
      </c>
      <c r="C1689">
        <v>147</v>
      </c>
      <c r="D1689" t="s">
        <v>201</v>
      </c>
      <c r="E1689">
        <v>2632</v>
      </c>
      <c r="F1689" s="1">
        <v>0.19570000000000001</v>
      </c>
      <c r="G1689" s="1">
        <v>3.5999999999999997E-2</v>
      </c>
      <c r="H1689" s="1">
        <v>0.97109999999999996</v>
      </c>
      <c r="J1689" s="1">
        <v>0.77210000000000001</v>
      </c>
      <c r="K1689" s="1">
        <v>0.9889</v>
      </c>
      <c r="L1689" s="1">
        <v>0.16120000000000001</v>
      </c>
      <c r="M1689" s="1">
        <v>0.51400000000000001</v>
      </c>
      <c r="O1689" s="1">
        <v>0.85450000000000004</v>
      </c>
      <c r="Q1689" s="1">
        <v>7.9799999999999996E-2</v>
      </c>
      <c r="R1689" s="1">
        <v>0.86560000000000004</v>
      </c>
      <c r="S1689" s="1">
        <v>0.99950000000000006</v>
      </c>
      <c r="T1689" s="1">
        <v>0.38169999999999998</v>
      </c>
    </row>
    <row r="1690" spans="1:47" x14ac:dyDescent="0.25">
      <c r="A1690" t="s">
        <v>203</v>
      </c>
      <c r="B1690" t="s">
        <v>350</v>
      </c>
      <c r="C1690">
        <v>104</v>
      </c>
      <c r="D1690" t="s">
        <v>201</v>
      </c>
      <c r="E1690">
        <v>2632</v>
      </c>
      <c r="F1690" s="1">
        <v>0.127</v>
      </c>
      <c r="G1690" s="1">
        <v>6.7900000000000002E-2</v>
      </c>
      <c r="H1690" s="1">
        <v>0.7853</v>
      </c>
      <c r="J1690" s="1">
        <v>0.39679999999999999</v>
      </c>
      <c r="K1690" s="1">
        <v>0.9647</v>
      </c>
      <c r="L1690" s="1">
        <v>0.23899999999999999</v>
      </c>
      <c r="M1690" s="1">
        <v>0.23400000000000001</v>
      </c>
      <c r="O1690" s="1">
        <v>0.59189999999999998</v>
      </c>
      <c r="Q1690" s="1">
        <v>6.7900000000000002E-2</v>
      </c>
      <c r="R1690" s="1">
        <v>0.49980000000000002</v>
      </c>
      <c r="S1690" s="1">
        <v>0.76449999999999996</v>
      </c>
      <c r="T1690" s="1">
        <v>0.22869999999999999</v>
      </c>
    </row>
    <row r="1691" spans="1:47" x14ac:dyDescent="0.25">
      <c r="A1691" t="s">
        <v>203</v>
      </c>
      <c r="B1691" t="s">
        <v>348</v>
      </c>
      <c r="C1691">
        <v>90</v>
      </c>
      <c r="D1691" t="s">
        <v>202</v>
      </c>
      <c r="E1691">
        <v>2632</v>
      </c>
      <c r="F1691" s="1">
        <v>0.14649999999999999</v>
      </c>
      <c r="G1691" s="1">
        <v>5.0200000000000002E-2</v>
      </c>
      <c r="H1691" s="1">
        <v>0.97519999999999996</v>
      </c>
      <c r="I1691" s="1">
        <v>1.0200000000000001E-2</v>
      </c>
      <c r="J1691" s="1">
        <v>0.73770000000000002</v>
      </c>
      <c r="K1691" s="1">
        <v>0.98980000000000001</v>
      </c>
      <c r="L1691" s="1">
        <v>0.1313</v>
      </c>
      <c r="M1691" s="1">
        <v>0.56369999999999998</v>
      </c>
      <c r="O1691" s="1">
        <v>0.84089999999999998</v>
      </c>
      <c r="Q1691" s="1">
        <v>0.1802</v>
      </c>
      <c r="R1691" s="1">
        <v>0.87009999999999998</v>
      </c>
      <c r="S1691" s="1">
        <v>0.93910000000000005</v>
      </c>
      <c r="T1691" s="1">
        <v>0.53839999999999999</v>
      </c>
    </row>
    <row r="1692" spans="1:47" x14ac:dyDescent="0.25">
      <c r="A1692" t="s">
        <v>204</v>
      </c>
      <c r="B1692" t="s">
        <v>204</v>
      </c>
      <c r="C1692">
        <v>2632</v>
      </c>
      <c r="D1692" t="s">
        <v>204</v>
      </c>
      <c r="E1692">
        <v>2632</v>
      </c>
      <c r="F1692" s="1">
        <v>0.21679999999999999</v>
      </c>
      <c r="G1692" s="1">
        <v>5.4699999999999999E-2</v>
      </c>
      <c r="H1692" s="1">
        <v>0.94879999999999998</v>
      </c>
      <c r="I1692" s="1">
        <v>5.9999999999999995E-4</v>
      </c>
      <c r="J1692" s="1">
        <v>0.63329999999999997</v>
      </c>
      <c r="K1692" s="1">
        <v>0.99339999999999995</v>
      </c>
      <c r="L1692" s="1">
        <v>8.5800000000000001E-2</v>
      </c>
      <c r="M1692" s="1">
        <v>0.36370000000000002</v>
      </c>
      <c r="N1692" s="1">
        <v>5.0000000000000001E-4</v>
      </c>
      <c r="O1692" s="1">
        <v>0.84919999999999995</v>
      </c>
      <c r="P1692" s="1">
        <v>1.1000000000000001E-3</v>
      </c>
      <c r="Q1692" s="1">
        <v>0.36099999999999999</v>
      </c>
      <c r="R1692" s="1">
        <v>0.76970000000000005</v>
      </c>
      <c r="S1692" s="1">
        <v>0.92300000000000004</v>
      </c>
      <c r="T1692" s="1">
        <v>0.50629999999999997</v>
      </c>
    </row>
    <row r="1694" spans="1:47" x14ac:dyDescent="0.25">
      <c r="A1694" t="s">
        <v>480</v>
      </c>
    </row>
    <row r="1695" spans="1:47" x14ac:dyDescent="0.25">
      <c r="A1695" t="s">
        <v>189</v>
      </c>
      <c r="B1695" t="s">
        <v>190</v>
      </c>
      <c r="C1695" t="s">
        <v>481</v>
      </c>
      <c r="D1695" t="s">
        <v>482</v>
      </c>
      <c r="E1695" t="s">
        <v>483</v>
      </c>
      <c r="F1695" t="s">
        <v>484</v>
      </c>
      <c r="G1695" t="s">
        <v>485</v>
      </c>
      <c r="H1695" t="s">
        <v>486</v>
      </c>
      <c r="I1695" t="s">
        <v>487</v>
      </c>
      <c r="J1695" t="s">
        <v>488</v>
      </c>
      <c r="K1695" t="s">
        <v>489</v>
      </c>
      <c r="L1695" t="s">
        <v>490</v>
      </c>
      <c r="M1695" t="s">
        <v>491</v>
      </c>
      <c r="N1695" t="s">
        <v>492</v>
      </c>
      <c r="O1695" t="s">
        <v>493</v>
      </c>
      <c r="P1695" t="s">
        <v>494</v>
      </c>
      <c r="Q1695" t="s">
        <v>495</v>
      </c>
      <c r="R1695" t="s">
        <v>496</v>
      </c>
      <c r="S1695" t="s">
        <v>497</v>
      </c>
      <c r="T1695" t="s">
        <v>498</v>
      </c>
      <c r="U1695" t="s">
        <v>499</v>
      </c>
      <c r="V1695" t="s">
        <v>500</v>
      </c>
      <c r="W1695" t="s">
        <v>501</v>
      </c>
      <c r="X1695" t="s">
        <v>502</v>
      </c>
      <c r="Y1695" t="s">
        <v>503</v>
      </c>
      <c r="Z1695" t="s">
        <v>504</v>
      </c>
      <c r="AA1695" t="s">
        <v>505</v>
      </c>
      <c r="AB1695" t="s">
        <v>506</v>
      </c>
      <c r="AC1695" t="s">
        <v>507</v>
      </c>
      <c r="AD1695" t="s">
        <v>508</v>
      </c>
      <c r="AE1695" t="s">
        <v>509</v>
      </c>
      <c r="AF1695" t="s">
        <v>510</v>
      </c>
      <c r="AG1695" t="s">
        <v>511</v>
      </c>
      <c r="AH1695" t="s">
        <v>512</v>
      </c>
      <c r="AI1695" t="s">
        <v>513</v>
      </c>
      <c r="AJ1695" t="s">
        <v>514</v>
      </c>
      <c r="AK1695" t="s">
        <v>515</v>
      </c>
      <c r="AL1695" t="s">
        <v>516</v>
      </c>
      <c r="AM1695" t="s">
        <v>517</v>
      </c>
      <c r="AN1695" t="s">
        <v>518</v>
      </c>
      <c r="AO1695" t="s">
        <v>519</v>
      </c>
      <c r="AP1695" t="s">
        <v>520</v>
      </c>
      <c r="AQ1695" t="s">
        <v>521</v>
      </c>
      <c r="AR1695" t="s">
        <v>522</v>
      </c>
      <c r="AS1695" t="s">
        <v>523</v>
      </c>
      <c r="AT1695" t="s">
        <v>524</v>
      </c>
      <c r="AU1695" t="s">
        <v>196</v>
      </c>
    </row>
    <row r="1696" spans="1:47" x14ac:dyDescent="0.25">
      <c r="A1696" t="s">
        <v>197</v>
      </c>
      <c r="B1696" t="s">
        <v>198</v>
      </c>
      <c r="C1696">
        <v>7158.8311339038146</v>
      </c>
      <c r="D1696">
        <v>6000</v>
      </c>
      <c r="E1696">
        <v>1500</v>
      </c>
      <c r="F1696">
        <v>20000</v>
      </c>
      <c r="G1696">
        <v>5964.7129127857252</v>
      </c>
      <c r="H1696">
        <v>6000</v>
      </c>
      <c r="I1696">
        <v>500</v>
      </c>
      <c r="J1696">
        <v>11000</v>
      </c>
      <c r="K1696">
        <v>363.0793993518642</v>
      </c>
      <c r="L1696">
        <v>300</v>
      </c>
      <c r="M1696">
        <v>50</v>
      </c>
      <c r="N1696">
        <v>1500</v>
      </c>
      <c r="O1696">
        <v>299.71057842515609</v>
      </c>
      <c r="P1696">
        <v>300</v>
      </c>
      <c r="Q1696">
        <v>100</v>
      </c>
      <c r="R1696">
        <v>1000</v>
      </c>
      <c r="S1696">
        <v>963.52035343112129</v>
      </c>
      <c r="T1696">
        <v>700</v>
      </c>
      <c r="U1696">
        <v>150</v>
      </c>
      <c r="V1696">
        <v>4000</v>
      </c>
      <c r="W1696">
        <v>514.37608027190151</v>
      </c>
      <c r="X1696">
        <v>500</v>
      </c>
      <c r="Y1696">
        <v>100</v>
      </c>
      <c r="Z1696">
        <v>3000</v>
      </c>
      <c r="AA1696">
        <v>1648.324614069425</v>
      </c>
      <c r="AB1696">
        <v>1500</v>
      </c>
      <c r="AC1696">
        <v>300</v>
      </c>
      <c r="AD1696">
        <v>5000</v>
      </c>
      <c r="AE1696">
        <v>511.21179409614518</v>
      </c>
      <c r="AF1696">
        <v>500</v>
      </c>
      <c r="AG1696">
        <v>200</v>
      </c>
      <c r="AH1696">
        <v>1100</v>
      </c>
      <c r="AI1696">
        <v>2543.625217651384</v>
      </c>
      <c r="AJ1696">
        <v>800</v>
      </c>
      <c r="AK1696">
        <v>100</v>
      </c>
      <c r="AL1696">
        <v>37500</v>
      </c>
      <c r="AM1696">
        <v>656.78227707026474</v>
      </c>
      <c r="AN1696">
        <v>600</v>
      </c>
      <c r="AO1696">
        <v>75</v>
      </c>
      <c r="AP1696">
        <v>1880</v>
      </c>
      <c r="AQ1696">
        <v>1974.226518445643</v>
      </c>
      <c r="AR1696">
        <v>1000</v>
      </c>
      <c r="AS1696">
        <v>300</v>
      </c>
      <c r="AT1696">
        <v>8000</v>
      </c>
      <c r="AU1696">
        <v>2214</v>
      </c>
    </row>
    <row r="1697" spans="1:48" x14ac:dyDescent="0.25">
      <c r="A1697" t="s">
        <v>199</v>
      </c>
      <c r="B1697" t="s">
        <v>198</v>
      </c>
      <c r="C1697">
        <v>6009.8742450476566</v>
      </c>
      <c r="D1697">
        <v>5000</v>
      </c>
      <c r="E1697">
        <v>500</v>
      </c>
      <c r="F1697">
        <v>25000</v>
      </c>
      <c r="G1697">
        <v>5132.5237507001257</v>
      </c>
      <c r="H1697">
        <v>4500</v>
      </c>
      <c r="I1697">
        <v>300</v>
      </c>
      <c r="J1697">
        <v>15000</v>
      </c>
      <c r="K1697">
        <v>344.93580468120831</v>
      </c>
      <c r="L1697">
        <v>300</v>
      </c>
      <c r="M1697">
        <v>50</v>
      </c>
      <c r="N1697">
        <v>5000</v>
      </c>
      <c r="O1697">
        <v>634.19407285777311</v>
      </c>
      <c r="P1697">
        <v>500</v>
      </c>
      <c r="Q1697">
        <v>50</v>
      </c>
      <c r="R1697">
        <v>5000</v>
      </c>
      <c r="S1697">
        <v>723.06611629672977</v>
      </c>
      <c r="T1697">
        <v>600</v>
      </c>
      <c r="U1697">
        <v>100</v>
      </c>
      <c r="V1697">
        <v>5500</v>
      </c>
      <c r="W1697">
        <v>874.80329053912124</v>
      </c>
      <c r="X1697">
        <v>400</v>
      </c>
      <c r="Y1697">
        <v>100</v>
      </c>
      <c r="Z1697">
        <v>6670</v>
      </c>
      <c r="AA1697">
        <v>1429.913624416356</v>
      </c>
      <c r="AB1697">
        <v>1200</v>
      </c>
      <c r="AC1697">
        <v>180</v>
      </c>
      <c r="AD1697">
        <v>7000</v>
      </c>
      <c r="AE1697">
        <v>711.36279647285403</v>
      </c>
      <c r="AF1697">
        <v>500</v>
      </c>
      <c r="AG1697">
        <v>100</v>
      </c>
      <c r="AH1697">
        <v>5000</v>
      </c>
      <c r="AI1697">
        <v>1706.168543798065</v>
      </c>
      <c r="AJ1697">
        <v>1000</v>
      </c>
      <c r="AK1697">
        <v>50</v>
      </c>
      <c r="AL1697">
        <v>33000</v>
      </c>
      <c r="AM1697">
        <v>601.77293395621064</v>
      </c>
      <c r="AN1697">
        <v>530</v>
      </c>
      <c r="AO1697">
        <v>65</v>
      </c>
      <c r="AP1697">
        <v>2950</v>
      </c>
      <c r="AQ1697">
        <v>1730.271163724723</v>
      </c>
      <c r="AR1697">
        <v>1000</v>
      </c>
      <c r="AS1697">
        <v>200</v>
      </c>
      <c r="AT1697">
        <v>20000</v>
      </c>
      <c r="AU1697">
        <v>2214</v>
      </c>
    </row>
    <row r="1698" spans="1:48" x14ac:dyDescent="0.25">
      <c r="A1698" t="s">
        <v>200</v>
      </c>
      <c r="B1698" t="s">
        <v>198</v>
      </c>
      <c r="C1698">
        <v>8802.0386503347709</v>
      </c>
      <c r="D1698">
        <v>7000</v>
      </c>
      <c r="E1698">
        <v>400</v>
      </c>
      <c r="F1698">
        <v>40000</v>
      </c>
      <c r="G1698">
        <v>7548.4413228131898</v>
      </c>
      <c r="H1698">
        <v>7000</v>
      </c>
      <c r="I1698">
        <v>500</v>
      </c>
      <c r="J1698">
        <v>20000</v>
      </c>
      <c r="K1698">
        <v>476.99248647489549</v>
      </c>
      <c r="L1698">
        <v>300</v>
      </c>
      <c r="M1698">
        <v>50</v>
      </c>
      <c r="N1698">
        <v>5000</v>
      </c>
      <c r="O1698">
        <v>586.68068539071078</v>
      </c>
      <c r="P1698">
        <v>400</v>
      </c>
      <c r="Q1698">
        <v>70</v>
      </c>
      <c r="R1698">
        <v>4000</v>
      </c>
      <c r="S1698">
        <v>975.28773492051221</v>
      </c>
      <c r="T1698">
        <v>600</v>
      </c>
      <c r="U1698">
        <v>100</v>
      </c>
      <c r="V1698">
        <v>5000</v>
      </c>
      <c r="W1698">
        <v>736.61653634650941</v>
      </c>
      <c r="X1698">
        <v>500</v>
      </c>
      <c r="Y1698">
        <v>100</v>
      </c>
      <c r="Z1698">
        <v>6300</v>
      </c>
      <c r="AA1698">
        <v>2055.3079214938812</v>
      </c>
      <c r="AB1698">
        <v>1800</v>
      </c>
      <c r="AC1698">
        <v>130</v>
      </c>
      <c r="AD1698">
        <v>7000</v>
      </c>
      <c r="AE1698">
        <v>1040.068952625194</v>
      </c>
      <c r="AF1698">
        <v>700</v>
      </c>
      <c r="AG1698">
        <v>100</v>
      </c>
      <c r="AH1698">
        <v>8000</v>
      </c>
      <c r="AI1698">
        <v>2489.4462276300501</v>
      </c>
      <c r="AJ1698">
        <v>1000</v>
      </c>
      <c r="AK1698">
        <v>50</v>
      </c>
      <c r="AL1698">
        <v>35000</v>
      </c>
      <c r="AM1698">
        <v>716.8236879332926</v>
      </c>
      <c r="AN1698">
        <v>670</v>
      </c>
      <c r="AO1698">
        <v>70</v>
      </c>
      <c r="AP1698">
        <v>4600</v>
      </c>
      <c r="AQ1698">
        <v>2087.9549360992601</v>
      </c>
      <c r="AR1698">
        <v>2800</v>
      </c>
      <c r="AS1698">
        <v>300</v>
      </c>
      <c r="AT1698">
        <v>6000</v>
      </c>
      <c r="AU1698">
        <v>2214</v>
      </c>
    </row>
    <row r="1699" spans="1:48" x14ac:dyDescent="0.25">
      <c r="A1699" t="s">
        <v>201</v>
      </c>
      <c r="B1699" t="s">
        <v>198</v>
      </c>
      <c r="C1699">
        <v>7672.0787501545874</v>
      </c>
      <c r="D1699">
        <v>6000</v>
      </c>
      <c r="E1699">
        <v>300</v>
      </c>
      <c r="F1699">
        <v>30000</v>
      </c>
      <c r="G1699">
        <v>5941.8142968741131</v>
      </c>
      <c r="H1699">
        <v>5500</v>
      </c>
      <c r="I1699">
        <v>300</v>
      </c>
      <c r="J1699">
        <v>17000</v>
      </c>
      <c r="K1699">
        <v>591.66638809082065</v>
      </c>
      <c r="L1699">
        <v>400</v>
      </c>
      <c r="M1699">
        <v>50</v>
      </c>
      <c r="N1699">
        <v>5000</v>
      </c>
      <c r="O1699">
        <v>391.3453415477303</v>
      </c>
      <c r="P1699">
        <v>300</v>
      </c>
      <c r="Q1699">
        <v>50</v>
      </c>
      <c r="R1699">
        <v>2000</v>
      </c>
      <c r="S1699">
        <v>919.03278961650074</v>
      </c>
      <c r="T1699">
        <v>600</v>
      </c>
      <c r="U1699">
        <v>100</v>
      </c>
      <c r="V1699">
        <v>5000</v>
      </c>
      <c r="W1699">
        <v>648.62613456677491</v>
      </c>
      <c r="X1699">
        <v>400</v>
      </c>
      <c r="Y1699">
        <v>100</v>
      </c>
      <c r="Z1699">
        <v>15000</v>
      </c>
      <c r="AA1699">
        <v>1978.9616344749029</v>
      </c>
      <c r="AB1699">
        <v>1500</v>
      </c>
      <c r="AC1699">
        <v>200</v>
      </c>
      <c r="AD1699">
        <v>15000</v>
      </c>
      <c r="AE1699">
        <v>988.00179866954397</v>
      </c>
      <c r="AF1699">
        <v>1000</v>
      </c>
      <c r="AG1699">
        <v>100</v>
      </c>
      <c r="AH1699">
        <v>2000</v>
      </c>
      <c r="AI1699">
        <v>1498.3759558264151</v>
      </c>
      <c r="AJ1699">
        <v>700</v>
      </c>
      <c r="AK1699">
        <v>56</v>
      </c>
      <c r="AL1699">
        <v>13000</v>
      </c>
      <c r="AM1699">
        <v>667.57043499386714</v>
      </c>
      <c r="AN1699">
        <v>600</v>
      </c>
      <c r="AO1699">
        <v>54</v>
      </c>
      <c r="AP1699">
        <v>2100</v>
      </c>
      <c r="AQ1699">
        <v>2472.0076503027731</v>
      </c>
      <c r="AR1699">
        <v>1500</v>
      </c>
      <c r="AS1699">
        <v>320</v>
      </c>
      <c r="AT1699">
        <v>7500</v>
      </c>
      <c r="AU1699">
        <v>2214</v>
      </c>
    </row>
    <row r="1700" spans="1:48" x14ac:dyDescent="0.25">
      <c r="A1700" t="s">
        <v>202</v>
      </c>
      <c r="B1700" t="s">
        <v>198</v>
      </c>
      <c r="C1700">
        <v>7618.0774345610289</v>
      </c>
      <c r="D1700">
        <v>6000</v>
      </c>
      <c r="E1700">
        <v>500</v>
      </c>
      <c r="F1700">
        <v>25000</v>
      </c>
      <c r="G1700">
        <v>6992.9357163541572</v>
      </c>
      <c r="H1700">
        <v>6500</v>
      </c>
      <c r="I1700">
        <v>450</v>
      </c>
      <c r="J1700">
        <v>16000</v>
      </c>
      <c r="K1700">
        <v>491.82516908900038</v>
      </c>
      <c r="L1700">
        <v>500</v>
      </c>
      <c r="M1700">
        <v>50</v>
      </c>
      <c r="N1700">
        <v>1500</v>
      </c>
      <c r="O1700">
        <v>571.11574510470984</v>
      </c>
      <c r="P1700">
        <v>400</v>
      </c>
      <c r="Q1700">
        <v>50</v>
      </c>
      <c r="R1700">
        <v>10000</v>
      </c>
      <c r="S1700">
        <v>825.94696024932261</v>
      </c>
      <c r="T1700">
        <v>700</v>
      </c>
      <c r="U1700">
        <v>100</v>
      </c>
      <c r="V1700">
        <v>3000</v>
      </c>
      <c r="W1700">
        <v>625.95841786899416</v>
      </c>
      <c r="X1700">
        <v>500</v>
      </c>
      <c r="Y1700">
        <v>200</v>
      </c>
      <c r="Z1700">
        <v>2500</v>
      </c>
      <c r="AA1700">
        <v>1830.0872002768369</v>
      </c>
      <c r="AB1700">
        <v>1300</v>
      </c>
      <c r="AC1700">
        <v>300</v>
      </c>
      <c r="AD1700">
        <v>30000</v>
      </c>
      <c r="AE1700">
        <v>1163.476139388323</v>
      </c>
      <c r="AF1700">
        <v>700</v>
      </c>
      <c r="AG1700">
        <v>100</v>
      </c>
      <c r="AH1700">
        <v>4000</v>
      </c>
      <c r="AI1700">
        <v>1731.968125376945</v>
      </c>
      <c r="AJ1700">
        <v>700</v>
      </c>
      <c r="AK1700">
        <v>100</v>
      </c>
      <c r="AL1700">
        <v>15000</v>
      </c>
      <c r="AM1700">
        <v>553.80545949120904</v>
      </c>
      <c r="AN1700">
        <v>500</v>
      </c>
      <c r="AO1700">
        <v>50</v>
      </c>
      <c r="AP1700">
        <v>1500</v>
      </c>
      <c r="AQ1700">
        <v>1947.418937195928</v>
      </c>
      <c r="AR1700">
        <v>1800</v>
      </c>
      <c r="AS1700">
        <v>1300</v>
      </c>
      <c r="AT1700">
        <v>3500</v>
      </c>
      <c r="AU1700">
        <v>2214</v>
      </c>
    </row>
    <row r="1701" spans="1:48" x14ac:dyDescent="0.25">
      <c r="A1701" t="s">
        <v>199</v>
      </c>
      <c r="B1701" t="s">
        <v>203</v>
      </c>
      <c r="C1701">
        <v>7906.1732290383643</v>
      </c>
      <c r="D1701">
        <v>7500</v>
      </c>
      <c r="E1701">
        <v>500</v>
      </c>
      <c r="F1701">
        <v>30000</v>
      </c>
      <c r="G1701">
        <v>5835.3106665061796</v>
      </c>
      <c r="H1701">
        <v>5000</v>
      </c>
      <c r="I1701">
        <v>1000</v>
      </c>
      <c r="J1701">
        <v>40000</v>
      </c>
      <c r="K1701">
        <v>419.69363933016967</v>
      </c>
      <c r="L1701">
        <v>350</v>
      </c>
      <c r="M1701">
        <v>60</v>
      </c>
      <c r="N1701">
        <v>5000</v>
      </c>
      <c r="O1701">
        <v>594.79737242039391</v>
      </c>
      <c r="P1701">
        <v>400</v>
      </c>
      <c r="Q1701">
        <v>50</v>
      </c>
      <c r="R1701">
        <v>10000</v>
      </c>
      <c r="S1701">
        <v>994.39612848122079</v>
      </c>
      <c r="T1701">
        <v>800</v>
      </c>
      <c r="U1701">
        <v>100</v>
      </c>
      <c r="V1701">
        <v>5000</v>
      </c>
      <c r="W1701">
        <v>577.40607712470955</v>
      </c>
      <c r="X1701">
        <v>300</v>
      </c>
      <c r="Y1701">
        <v>100</v>
      </c>
      <c r="Z1701">
        <v>6000</v>
      </c>
      <c r="AA1701">
        <v>1698.0136373823091</v>
      </c>
      <c r="AB1701">
        <v>1500</v>
      </c>
      <c r="AC1701">
        <v>200</v>
      </c>
      <c r="AD1701">
        <v>8000</v>
      </c>
      <c r="AE1701">
        <v>1065.6647080280111</v>
      </c>
      <c r="AF1701">
        <v>700</v>
      </c>
      <c r="AG1701">
        <v>100</v>
      </c>
      <c r="AH1701">
        <v>18000</v>
      </c>
      <c r="AI1701">
        <v>2943.0160673152041</v>
      </c>
      <c r="AJ1701">
        <v>2000</v>
      </c>
      <c r="AK1701">
        <v>50</v>
      </c>
      <c r="AL1701">
        <v>20000</v>
      </c>
      <c r="AM1701">
        <v>728.85093833073176</v>
      </c>
      <c r="AN1701">
        <v>800</v>
      </c>
      <c r="AO1701">
        <v>100</v>
      </c>
      <c r="AP1701">
        <v>6500</v>
      </c>
      <c r="AQ1701">
        <v>2304.0907519449379</v>
      </c>
      <c r="AR1701">
        <v>1500</v>
      </c>
      <c r="AS1701">
        <v>100</v>
      </c>
      <c r="AT1701">
        <v>20000</v>
      </c>
      <c r="AU1701">
        <v>2214</v>
      </c>
    </row>
    <row r="1702" spans="1:48" x14ac:dyDescent="0.25">
      <c r="A1702" t="s">
        <v>200</v>
      </c>
      <c r="B1702" t="s">
        <v>203</v>
      </c>
      <c r="C1702">
        <v>9856.5083252275672</v>
      </c>
      <c r="D1702">
        <v>9000</v>
      </c>
      <c r="E1702">
        <v>200</v>
      </c>
      <c r="F1702">
        <v>40000</v>
      </c>
      <c r="G1702">
        <v>7129.2545310212799</v>
      </c>
      <c r="H1702">
        <v>6000</v>
      </c>
      <c r="I1702">
        <v>300</v>
      </c>
      <c r="J1702">
        <v>20000</v>
      </c>
      <c r="K1702">
        <v>702.71558337823626</v>
      </c>
      <c r="L1702">
        <v>500</v>
      </c>
      <c r="M1702">
        <v>70</v>
      </c>
      <c r="N1702">
        <v>5000</v>
      </c>
      <c r="O1702">
        <v>683.40116159072784</v>
      </c>
      <c r="P1702">
        <v>400</v>
      </c>
      <c r="Q1702">
        <v>50</v>
      </c>
      <c r="R1702">
        <v>10000</v>
      </c>
      <c r="S1702">
        <v>1011.575511014768</v>
      </c>
      <c r="T1702">
        <v>750</v>
      </c>
      <c r="U1702">
        <v>100</v>
      </c>
      <c r="V1702">
        <v>5000</v>
      </c>
      <c r="W1702">
        <v>1366.4410419324479</v>
      </c>
      <c r="X1702">
        <v>730</v>
      </c>
      <c r="Y1702">
        <v>100</v>
      </c>
      <c r="Z1702">
        <v>13800</v>
      </c>
      <c r="AA1702">
        <v>2228.8826462404422</v>
      </c>
      <c r="AB1702">
        <v>1800</v>
      </c>
      <c r="AC1702">
        <v>100</v>
      </c>
      <c r="AD1702">
        <v>12000</v>
      </c>
      <c r="AE1702">
        <v>1010.789476734819</v>
      </c>
      <c r="AF1702">
        <v>600</v>
      </c>
      <c r="AG1702">
        <v>100</v>
      </c>
      <c r="AH1702">
        <v>11000</v>
      </c>
      <c r="AI1702">
        <v>3326.6403319402061</v>
      </c>
      <c r="AJ1702">
        <v>3000</v>
      </c>
      <c r="AK1702">
        <v>50</v>
      </c>
      <c r="AL1702">
        <v>100000</v>
      </c>
      <c r="AM1702">
        <v>750.48210015396819</v>
      </c>
      <c r="AN1702">
        <v>700</v>
      </c>
      <c r="AO1702">
        <v>90</v>
      </c>
      <c r="AP1702">
        <v>7000</v>
      </c>
      <c r="AQ1702">
        <v>3827.8748582259359</v>
      </c>
      <c r="AR1702">
        <v>2200</v>
      </c>
      <c r="AS1702">
        <v>150</v>
      </c>
      <c r="AT1702">
        <v>24000</v>
      </c>
      <c r="AU1702">
        <v>2214</v>
      </c>
    </row>
    <row r="1703" spans="1:48" x14ac:dyDescent="0.25">
      <c r="A1703" t="s">
        <v>201</v>
      </c>
      <c r="B1703" t="s">
        <v>203</v>
      </c>
      <c r="C1703">
        <v>8874.0921352614587</v>
      </c>
      <c r="D1703">
        <v>8000</v>
      </c>
      <c r="E1703">
        <v>200</v>
      </c>
      <c r="F1703">
        <v>45000</v>
      </c>
      <c r="G1703">
        <v>5364.5574682506349</v>
      </c>
      <c r="H1703">
        <v>6000</v>
      </c>
      <c r="I1703">
        <v>500</v>
      </c>
      <c r="J1703">
        <v>9000</v>
      </c>
      <c r="K1703">
        <v>422.23214041136589</v>
      </c>
      <c r="L1703">
        <v>300</v>
      </c>
      <c r="M1703">
        <v>60</v>
      </c>
      <c r="N1703">
        <v>3000</v>
      </c>
      <c r="O1703">
        <v>456.10599945832791</v>
      </c>
      <c r="P1703">
        <v>300</v>
      </c>
      <c r="Q1703">
        <v>50</v>
      </c>
      <c r="R1703">
        <v>3000</v>
      </c>
      <c r="S1703">
        <v>1022.35405294111</v>
      </c>
      <c r="T1703">
        <v>700</v>
      </c>
      <c r="U1703">
        <v>100</v>
      </c>
      <c r="V1703">
        <v>25000</v>
      </c>
      <c r="W1703">
        <v>425.54905556433681</v>
      </c>
      <c r="X1703">
        <v>300</v>
      </c>
      <c r="Y1703">
        <v>100</v>
      </c>
      <c r="Z1703">
        <v>10000</v>
      </c>
      <c r="AA1703">
        <v>1798.9629143555669</v>
      </c>
      <c r="AB1703">
        <v>1500</v>
      </c>
      <c r="AC1703">
        <v>200</v>
      </c>
      <c r="AD1703">
        <v>8000</v>
      </c>
      <c r="AE1703">
        <v>1416.695493713275</v>
      </c>
      <c r="AF1703">
        <v>1000</v>
      </c>
      <c r="AG1703">
        <v>150</v>
      </c>
      <c r="AH1703">
        <v>13000</v>
      </c>
      <c r="AI1703">
        <v>2418.8659700572248</v>
      </c>
      <c r="AJ1703">
        <v>2000</v>
      </c>
      <c r="AK1703">
        <v>50</v>
      </c>
      <c r="AL1703">
        <v>15000</v>
      </c>
      <c r="AM1703">
        <v>650.1763008833766</v>
      </c>
      <c r="AN1703">
        <v>600</v>
      </c>
      <c r="AO1703">
        <v>100</v>
      </c>
      <c r="AP1703">
        <v>7000</v>
      </c>
      <c r="AQ1703">
        <v>2525.9396060911899</v>
      </c>
      <c r="AR1703">
        <v>2000</v>
      </c>
      <c r="AS1703">
        <v>150</v>
      </c>
      <c r="AT1703">
        <v>20000</v>
      </c>
      <c r="AU1703">
        <v>2214</v>
      </c>
    </row>
    <row r="1704" spans="1:48" x14ac:dyDescent="0.25">
      <c r="A1704" t="s">
        <v>202</v>
      </c>
      <c r="B1704" t="s">
        <v>203</v>
      </c>
      <c r="C1704">
        <v>8839.1570331622606</v>
      </c>
      <c r="D1704">
        <v>8000</v>
      </c>
      <c r="E1704">
        <v>1500</v>
      </c>
      <c r="F1704">
        <v>30000</v>
      </c>
      <c r="G1704">
        <v>6676.9642811973736</v>
      </c>
      <c r="H1704">
        <v>7000</v>
      </c>
      <c r="I1704">
        <v>800</v>
      </c>
      <c r="J1704">
        <v>15000</v>
      </c>
      <c r="K1704">
        <v>361.40343903671112</v>
      </c>
      <c r="L1704">
        <v>300</v>
      </c>
      <c r="M1704">
        <v>80</v>
      </c>
      <c r="N1704">
        <v>1000</v>
      </c>
      <c r="O1704">
        <v>872.0999901494223</v>
      </c>
      <c r="P1704">
        <v>500</v>
      </c>
      <c r="Q1704">
        <v>100</v>
      </c>
      <c r="R1704">
        <v>5000</v>
      </c>
      <c r="S1704">
        <v>1091.3892633499891</v>
      </c>
      <c r="T1704">
        <v>1000</v>
      </c>
      <c r="U1704">
        <v>120</v>
      </c>
      <c r="V1704">
        <v>10000</v>
      </c>
      <c r="W1704">
        <v>790.65931838940935</v>
      </c>
      <c r="X1704">
        <v>500</v>
      </c>
      <c r="Y1704">
        <v>100</v>
      </c>
      <c r="Z1704">
        <v>4000</v>
      </c>
      <c r="AA1704">
        <v>1828.2289576654521</v>
      </c>
      <c r="AB1704">
        <v>1700</v>
      </c>
      <c r="AC1704">
        <v>210</v>
      </c>
      <c r="AD1704">
        <v>8000</v>
      </c>
      <c r="AE1704">
        <v>657.95019549533026</v>
      </c>
      <c r="AF1704">
        <v>250</v>
      </c>
      <c r="AG1704">
        <v>150</v>
      </c>
      <c r="AH1704">
        <v>3500</v>
      </c>
      <c r="AI1704">
        <v>1987.8584346788321</v>
      </c>
      <c r="AJ1704">
        <v>1100</v>
      </c>
      <c r="AK1704">
        <v>50</v>
      </c>
      <c r="AL1704">
        <v>8000</v>
      </c>
      <c r="AM1704">
        <v>638.79893474284506</v>
      </c>
      <c r="AN1704">
        <v>550</v>
      </c>
      <c r="AO1704">
        <v>100</v>
      </c>
      <c r="AP1704">
        <v>3000</v>
      </c>
      <c r="AQ1704">
        <v>2209.989579991653</v>
      </c>
      <c r="AR1704">
        <v>2000</v>
      </c>
      <c r="AS1704">
        <v>400</v>
      </c>
      <c r="AT1704">
        <v>5000</v>
      </c>
      <c r="AU1704">
        <v>2214</v>
      </c>
    </row>
    <row r="1705" spans="1:48" x14ac:dyDescent="0.25">
      <c r="A1705" t="s">
        <v>204</v>
      </c>
      <c r="B1705" t="s">
        <v>204</v>
      </c>
      <c r="C1705">
        <v>8436.3784794976564</v>
      </c>
      <c r="D1705">
        <v>7000</v>
      </c>
      <c r="E1705">
        <v>200</v>
      </c>
      <c r="F1705">
        <v>45000</v>
      </c>
      <c r="G1705">
        <v>6501.194936879966</v>
      </c>
      <c r="H1705">
        <v>6000</v>
      </c>
      <c r="I1705">
        <v>300</v>
      </c>
      <c r="J1705">
        <v>40000</v>
      </c>
      <c r="K1705">
        <v>502.89353372501961</v>
      </c>
      <c r="L1705">
        <v>350</v>
      </c>
      <c r="M1705">
        <v>50</v>
      </c>
      <c r="N1705">
        <v>5000</v>
      </c>
      <c r="O1705">
        <v>616.13024906608359</v>
      </c>
      <c r="P1705">
        <v>400</v>
      </c>
      <c r="Q1705">
        <v>50</v>
      </c>
      <c r="R1705">
        <v>10000</v>
      </c>
      <c r="S1705">
        <v>951.18609842854551</v>
      </c>
      <c r="T1705">
        <v>700</v>
      </c>
      <c r="U1705">
        <v>100</v>
      </c>
      <c r="V1705">
        <v>25000</v>
      </c>
      <c r="W1705">
        <v>858.09262746016225</v>
      </c>
      <c r="X1705">
        <v>500</v>
      </c>
      <c r="Y1705">
        <v>100</v>
      </c>
      <c r="Z1705">
        <v>15000</v>
      </c>
      <c r="AA1705">
        <v>1908.486300427109</v>
      </c>
      <c r="AB1705">
        <v>1500</v>
      </c>
      <c r="AC1705">
        <v>100</v>
      </c>
      <c r="AD1705">
        <v>30000</v>
      </c>
      <c r="AE1705">
        <v>1002.315677150625</v>
      </c>
      <c r="AF1705">
        <v>600</v>
      </c>
      <c r="AG1705">
        <v>100</v>
      </c>
      <c r="AH1705">
        <v>18000</v>
      </c>
      <c r="AI1705">
        <v>2625.8503028560222</v>
      </c>
      <c r="AJ1705">
        <v>1500</v>
      </c>
      <c r="AK1705">
        <v>50</v>
      </c>
      <c r="AL1705">
        <v>100000</v>
      </c>
      <c r="AM1705">
        <v>685.85523947275476</v>
      </c>
      <c r="AN1705">
        <v>600</v>
      </c>
      <c r="AO1705">
        <v>50</v>
      </c>
      <c r="AP1705">
        <v>7000</v>
      </c>
      <c r="AQ1705">
        <v>2975.2918666204</v>
      </c>
      <c r="AR1705">
        <v>2000</v>
      </c>
      <c r="AS1705">
        <v>100</v>
      </c>
      <c r="AT1705">
        <v>24000</v>
      </c>
      <c r="AU1705">
        <v>2214</v>
      </c>
    </row>
    <row r="1707" spans="1:48" x14ac:dyDescent="0.25">
      <c r="A1707" t="s">
        <v>525</v>
      </c>
    </row>
    <row r="1708" spans="1:48" x14ac:dyDescent="0.25">
      <c r="A1708" t="s">
        <v>189</v>
      </c>
      <c r="B1708" t="s">
        <v>190</v>
      </c>
      <c r="C1708" t="s">
        <v>206</v>
      </c>
      <c r="D1708" t="s">
        <v>481</v>
      </c>
      <c r="E1708" t="s">
        <v>482</v>
      </c>
      <c r="F1708" t="s">
        <v>483</v>
      </c>
      <c r="G1708" t="s">
        <v>484</v>
      </c>
      <c r="H1708" t="s">
        <v>485</v>
      </c>
      <c r="I1708" t="s">
        <v>486</v>
      </c>
      <c r="J1708" t="s">
        <v>487</v>
      </c>
      <c r="K1708" t="s">
        <v>488</v>
      </c>
      <c r="L1708" t="s">
        <v>489</v>
      </c>
      <c r="M1708" t="s">
        <v>490</v>
      </c>
      <c r="N1708" t="s">
        <v>491</v>
      </c>
      <c r="O1708" t="s">
        <v>492</v>
      </c>
      <c r="P1708" t="s">
        <v>493</v>
      </c>
      <c r="Q1708" t="s">
        <v>494</v>
      </c>
      <c r="R1708" t="s">
        <v>495</v>
      </c>
      <c r="S1708" t="s">
        <v>496</v>
      </c>
      <c r="T1708" t="s">
        <v>497</v>
      </c>
      <c r="U1708" t="s">
        <v>498</v>
      </c>
      <c r="V1708" t="s">
        <v>499</v>
      </c>
      <c r="W1708" t="s">
        <v>500</v>
      </c>
      <c r="X1708" t="s">
        <v>501</v>
      </c>
      <c r="Y1708" t="s">
        <v>502</v>
      </c>
      <c r="Z1708" t="s">
        <v>503</v>
      </c>
      <c r="AA1708" t="s">
        <v>504</v>
      </c>
      <c r="AB1708" t="s">
        <v>505</v>
      </c>
      <c r="AC1708" t="s">
        <v>506</v>
      </c>
      <c r="AD1708" t="s">
        <v>507</v>
      </c>
      <c r="AE1708" t="s">
        <v>508</v>
      </c>
      <c r="AF1708" t="s">
        <v>509</v>
      </c>
      <c r="AG1708" t="s">
        <v>510</v>
      </c>
      <c r="AH1708" t="s">
        <v>511</v>
      </c>
      <c r="AI1708" t="s">
        <v>512</v>
      </c>
      <c r="AJ1708" t="s">
        <v>513</v>
      </c>
      <c r="AK1708" t="s">
        <v>514</v>
      </c>
      <c r="AL1708" t="s">
        <v>515</v>
      </c>
      <c r="AM1708" t="s">
        <v>516</v>
      </c>
      <c r="AN1708" t="s">
        <v>517</v>
      </c>
      <c r="AO1708" t="s">
        <v>518</v>
      </c>
      <c r="AP1708" t="s">
        <v>519</v>
      </c>
      <c r="AQ1708" t="s">
        <v>520</v>
      </c>
      <c r="AR1708" t="s">
        <v>521</v>
      </c>
      <c r="AS1708" t="s">
        <v>522</v>
      </c>
      <c r="AT1708" t="s">
        <v>523</v>
      </c>
      <c r="AU1708" t="s">
        <v>524</v>
      </c>
      <c r="AV1708" t="s">
        <v>196</v>
      </c>
    </row>
    <row r="1709" spans="1:48" x14ac:dyDescent="0.25">
      <c r="A1709" t="s">
        <v>197</v>
      </c>
      <c r="B1709" t="s">
        <v>198</v>
      </c>
      <c r="C1709" t="s">
        <v>228</v>
      </c>
      <c r="D1709">
        <v>7437.8481759061924</v>
      </c>
      <c r="E1709">
        <v>7000</v>
      </c>
      <c r="F1709">
        <v>2500</v>
      </c>
      <c r="G1709">
        <v>18000</v>
      </c>
      <c r="H1709">
        <v>3673.7400201385049</v>
      </c>
      <c r="I1709">
        <v>6000</v>
      </c>
      <c r="J1709">
        <v>500</v>
      </c>
      <c r="K1709">
        <v>6000</v>
      </c>
      <c r="L1709">
        <v>341.7317777027601</v>
      </c>
      <c r="M1709">
        <v>300</v>
      </c>
      <c r="N1709">
        <v>100</v>
      </c>
      <c r="O1709">
        <v>1000</v>
      </c>
      <c r="P1709">
        <v>353.8486935235664</v>
      </c>
      <c r="Q1709">
        <v>300</v>
      </c>
      <c r="R1709">
        <v>100</v>
      </c>
      <c r="S1709">
        <v>1000</v>
      </c>
      <c r="T1709">
        <v>677.60135481895202</v>
      </c>
      <c r="U1709">
        <v>600</v>
      </c>
      <c r="V1709">
        <v>150</v>
      </c>
      <c r="W1709">
        <v>3000</v>
      </c>
      <c r="X1709">
        <v>576.83330272805131</v>
      </c>
      <c r="Y1709">
        <v>300</v>
      </c>
      <c r="Z1709">
        <v>100</v>
      </c>
      <c r="AA1709">
        <v>3000</v>
      </c>
      <c r="AB1709">
        <v>1558.374721487236</v>
      </c>
      <c r="AC1709">
        <v>1500</v>
      </c>
      <c r="AD1709">
        <v>300</v>
      </c>
      <c r="AE1709">
        <v>5000</v>
      </c>
      <c r="AF1709">
        <v>473.02208270758757</v>
      </c>
      <c r="AG1709">
        <v>560</v>
      </c>
      <c r="AH1709">
        <v>230</v>
      </c>
      <c r="AI1709">
        <v>560</v>
      </c>
      <c r="AJ1709">
        <v>3624.039186910702</v>
      </c>
      <c r="AK1709">
        <v>1000</v>
      </c>
      <c r="AL1709">
        <v>100</v>
      </c>
      <c r="AM1709">
        <v>37500</v>
      </c>
      <c r="AN1709">
        <v>647.38819377305788</v>
      </c>
      <c r="AO1709">
        <v>600</v>
      </c>
      <c r="AP1709">
        <v>170</v>
      </c>
      <c r="AQ1709">
        <v>1350</v>
      </c>
      <c r="AR1709">
        <v>2837.057014121066</v>
      </c>
      <c r="AS1709">
        <v>2000</v>
      </c>
      <c r="AT1709">
        <v>400</v>
      </c>
      <c r="AU1709">
        <v>8000</v>
      </c>
      <c r="AV1709">
        <v>2214</v>
      </c>
    </row>
    <row r="1710" spans="1:48" x14ac:dyDescent="0.25">
      <c r="A1710" t="s">
        <v>197</v>
      </c>
      <c r="B1710" t="s">
        <v>198</v>
      </c>
      <c r="C1710" t="s">
        <v>229</v>
      </c>
      <c r="D1710">
        <v>7000.2951410336555</v>
      </c>
      <c r="E1710">
        <v>6000</v>
      </c>
      <c r="F1710">
        <v>1500</v>
      </c>
      <c r="G1710">
        <v>20000</v>
      </c>
      <c r="H1710">
        <v>6197.2296837157128</v>
      </c>
      <c r="I1710">
        <v>6000</v>
      </c>
      <c r="J1710">
        <v>2000</v>
      </c>
      <c r="K1710">
        <v>11000</v>
      </c>
      <c r="L1710">
        <v>372.75371472552501</v>
      </c>
      <c r="M1710">
        <v>350</v>
      </c>
      <c r="N1710">
        <v>50</v>
      </c>
      <c r="O1710">
        <v>1500</v>
      </c>
      <c r="P1710">
        <v>268.84669650294541</v>
      </c>
      <c r="Q1710">
        <v>200</v>
      </c>
      <c r="R1710">
        <v>100</v>
      </c>
      <c r="S1710">
        <v>700</v>
      </c>
      <c r="T1710">
        <v>1188.514401884089</v>
      </c>
      <c r="U1710">
        <v>1000</v>
      </c>
      <c r="V1710">
        <v>250</v>
      </c>
      <c r="W1710">
        <v>4000</v>
      </c>
      <c r="X1710">
        <v>466.6046331497634</v>
      </c>
      <c r="Y1710">
        <v>500</v>
      </c>
      <c r="Z1710">
        <v>100</v>
      </c>
      <c r="AA1710">
        <v>1000</v>
      </c>
      <c r="AB1710">
        <v>1718.2798904671729</v>
      </c>
      <c r="AC1710">
        <v>1700</v>
      </c>
      <c r="AD1710">
        <v>400</v>
      </c>
      <c r="AE1710">
        <v>3000</v>
      </c>
      <c r="AF1710">
        <v>578.18232166999951</v>
      </c>
      <c r="AG1710">
        <v>1100</v>
      </c>
      <c r="AH1710">
        <v>200</v>
      </c>
      <c r="AI1710">
        <v>1100</v>
      </c>
      <c r="AJ1710">
        <v>1719.3915253773321</v>
      </c>
      <c r="AK1710">
        <v>650</v>
      </c>
      <c r="AL1710">
        <v>100</v>
      </c>
      <c r="AM1710">
        <v>10000</v>
      </c>
      <c r="AN1710">
        <v>663.62469090481534</v>
      </c>
      <c r="AO1710">
        <v>600</v>
      </c>
      <c r="AP1710">
        <v>75</v>
      </c>
      <c r="AQ1710">
        <v>1880</v>
      </c>
      <c r="AR1710">
        <v>1648.8696854225841</v>
      </c>
      <c r="AS1710">
        <v>1000</v>
      </c>
      <c r="AT1710">
        <v>300</v>
      </c>
      <c r="AU1710">
        <v>4500</v>
      </c>
      <c r="AV1710">
        <v>2214</v>
      </c>
    </row>
    <row r="1711" spans="1:48" x14ac:dyDescent="0.25">
      <c r="A1711" t="s">
        <v>199</v>
      </c>
      <c r="B1711" t="s">
        <v>198</v>
      </c>
      <c r="C1711" t="s">
        <v>228</v>
      </c>
      <c r="D1711">
        <v>5661.55682958328</v>
      </c>
      <c r="E1711">
        <v>5000</v>
      </c>
      <c r="F1711">
        <v>1000</v>
      </c>
      <c r="G1711">
        <v>20000</v>
      </c>
      <c r="H1711">
        <v>5934.0156031357819</v>
      </c>
      <c r="I1711">
        <v>5000</v>
      </c>
      <c r="J1711">
        <v>1000</v>
      </c>
      <c r="K1711">
        <v>15000</v>
      </c>
      <c r="L1711">
        <v>388.95341792944549</v>
      </c>
      <c r="M1711">
        <v>300</v>
      </c>
      <c r="N1711">
        <v>50</v>
      </c>
      <c r="O1711">
        <v>1500</v>
      </c>
      <c r="P1711">
        <v>768.99665100120012</v>
      </c>
      <c r="Q1711">
        <v>500</v>
      </c>
      <c r="R1711">
        <v>100</v>
      </c>
      <c r="S1711">
        <v>5000</v>
      </c>
      <c r="T1711">
        <v>712.67420206497013</v>
      </c>
      <c r="U1711">
        <v>500</v>
      </c>
      <c r="V1711">
        <v>100</v>
      </c>
      <c r="W1711">
        <v>5000</v>
      </c>
      <c r="X1711">
        <v>1530.059308476106</v>
      </c>
      <c r="Y1711">
        <v>500</v>
      </c>
      <c r="Z1711">
        <v>100</v>
      </c>
      <c r="AA1711">
        <v>6670</v>
      </c>
      <c r="AB1711">
        <v>1353.993420165697</v>
      </c>
      <c r="AC1711">
        <v>1000</v>
      </c>
      <c r="AD1711">
        <v>200</v>
      </c>
      <c r="AE1711">
        <v>6000</v>
      </c>
      <c r="AF1711">
        <v>658.45521848688884</v>
      </c>
      <c r="AG1711">
        <v>500</v>
      </c>
      <c r="AH1711">
        <v>150</v>
      </c>
      <c r="AI1711">
        <v>1500</v>
      </c>
      <c r="AJ1711">
        <v>2150.2177391410851</v>
      </c>
      <c r="AK1711">
        <v>2000</v>
      </c>
      <c r="AL1711">
        <v>100</v>
      </c>
      <c r="AM1711">
        <v>10000</v>
      </c>
      <c r="AN1711">
        <v>602.57365799619151</v>
      </c>
      <c r="AO1711">
        <v>600</v>
      </c>
      <c r="AP1711">
        <v>100</v>
      </c>
      <c r="AQ1711">
        <v>2950</v>
      </c>
      <c r="AR1711">
        <v>2764.7113361850511</v>
      </c>
      <c r="AS1711">
        <v>500</v>
      </c>
      <c r="AT1711">
        <v>200</v>
      </c>
      <c r="AU1711">
        <v>20000</v>
      </c>
      <c r="AV1711">
        <v>2214</v>
      </c>
    </row>
    <row r="1712" spans="1:48" x14ac:dyDescent="0.25">
      <c r="A1712" t="s">
        <v>199</v>
      </c>
      <c r="B1712" t="s">
        <v>198</v>
      </c>
      <c r="C1712" t="s">
        <v>229</v>
      </c>
      <c r="D1712">
        <v>6141.3668224091443</v>
      </c>
      <c r="E1712">
        <v>6000</v>
      </c>
      <c r="F1712">
        <v>500</v>
      </c>
      <c r="G1712">
        <v>25000</v>
      </c>
      <c r="H1712">
        <v>5018.4762904685958</v>
      </c>
      <c r="I1712">
        <v>4500</v>
      </c>
      <c r="J1712">
        <v>300</v>
      </c>
      <c r="K1712">
        <v>15000</v>
      </c>
      <c r="L1712">
        <v>335.59084886478041</v>
      </c>
      <c r="M1712">
        <v>300</v>
      </c>
      <c r="N1712">
        <v>50</v>
      </c>
      <c r="O1712">
        <v>5000</v>
      </c>
      <c r="P1712">
        <v>590.91692816670661</v>
      </c>
      <c r="Q1712">
        <v>500</v>
      </c>
      <c r="R1712">
        <v>50</v>
      </c>
      <c r="S1712">
        <v>5000</v>
      </c>
      <c r="T1712">
        <v>727.3494163970164</v>
      </c>
      <c r="U1712">
        <v>600</v>
      </c>
      <c r="V1712">
        <v>100</v>
      </c>
      <c r="W1712">
        <v>5500</v>
      </c>
      <c r="X1712">
        <v>546.2599148667739</v>
      </c>
      <c r="Y1712">
        <v>350</v>
      </c>
      <c r="Z1712">
        <v>100</v>
      </c>
      <c r="AA1712">
        <v>3000</v>
      </c>
      <c r="AB1712">
        <v>1454.831772918601</v>
      </c>
      <c r="AC1712">
        <v>1200</v>
      </c>
      <c r="AD1712">
        <v>180</v>
      </c>
      <c r="AE1712">
        <v>7000</v>
      </c>
      <c r="AF1712">
        <v>975.4935299533679</v>
      </c>
      <c r="AG1712">
        <v>900</v>
      </c>
      <c r="AH1712">
        <v>100</v>
      </c>
      <c r="AI1712">
        <v>5000</v>
      </c>
      <c r="AJ1712">
        <v>1562.908328367663</v>
      </c>
      <c r="AK1712">
        <v>700</v>
      </c>
      <c r="AL1712">
        <v>50</v>
      </c>
      <c r="AM1712">
        <v>33000</v>
      </c>
      <c r="AN1712">
        <v>601.9895152905857</v>
      </c>
      <c r="AO1712">
        <v>500</v>
      </c>
      <c r="AP1712">
        <v>65</v>
      </c>
      <c r="AQ1712">
        <v>2500</v>
      </c>
      <c r="AR1712">
        <v>1625.905351607689</v>
      </c>
      <c r="AS1712">
        <v>1000</v>
      </c>
      <c r="AT1712">
        <v>200</v>
      </c>
      <c r="AU1712">
        <v>4000</v>
      </c>
      <c r="AV1712">
        <v>2214</v>
      </c>
    </row>
    <row r="1713" spans="1:48" x14ac:dyDescent="0.25">
      <c r="A1713" t="s">
        <v>200</v>
      </c>
      <c r="B1713" t="s">
        <v>198</v>
      </c>
      <c r="C1713" t="s">
        <v>228</v>
      </c>
      <c r="D1713">
        <v>7627.0373347037776</v>
      </c>
      <c r="E1713">
        <v>6000</v>
      </c>
      <c r="F1713">
        <v>400</v>
      </c>
      <c r="G1713">
        <v>30000</v>
      </c>
      <c r="H1713">
        <v>6318.1305764616891</v>
      </c>
      <c r="I1713">
        <v>6000</v>
      </c>
      <c r="J1713">
        <v>500</v>
      </c>
      <c r="K1713">
        <v>20000</v>
      </c>
      <c r="L1713">
        <v>748.08423951264604</v>
      </c>
      <c r="M1713">
        <v>300</v>
      </c>
      <c r="N1713">
        <v>80</v>
      </c>
      <c r="O1713">
        <v>5000</v>
      </c>
      <c r="P1713">
        <v>701.09642623506033</v>
      </c>
      <c r="Q1713">
        <v>500</v>
      </c>
      <c r="R1713">
        <v>100</v>
      </c>
      <c r="S1713">
        <v>4000</v>
      </c>
      <c r="T1713">
        <v>992.85393614634552</v>
      </c>
      <c r="U1713">
        <v>700</v>
      </c>
      <c r="V1713">
        <v>100</v>
      </c>
      <c r="W1713">
        <v>5000</v>
      </c>
      <c r="X1713">
        <v>1222.470666812369</v>
      </c>
      <c r="Y1713">
        <v>500</v>
      </c>
      <c r="Z1713">
        <v>100</v>
      </c>
      <c r="AA1713">
        <v>6300</v>
      </c>
      <c r="AB1713">
        <v>1937.3611061490419</v>
      </c>
      <c r="AC1713">
        <v>1500</v>
      </c>
      <c r="AD1713">
        <v>130</v>
      </c>
      <c r="AE1713">
        <v>6000</v>
      </c>
      <c r="AF1713">
        <v>1231.876294165922</v>
      </c>
      <c r="AG1713">
        <v>800</v>
      </c>
      <c r="AH1713">
        <v>100</v>
      </c>
      <c r="AI1713">
        <v>8000</v>
      </c>
      <c r="AJ1713">
        <v>3933.8542111429219</v>
      </c>
      <c r="AK1713">
        <v>1000</v>
      </c>
      <c r="AL1713">
        <v>100</v>
      </c>
      <c r="AM1713">
        <v>35000</v>
      </c>
      <c r="AN1713">
        <v>730.03462075868492</v>
      </c>
      <c r="AO1713">
        <v>600</v>
      </c>
      <c r="AP1713">
        <v>100</v>
      </c>
      <c r="AQ1713">
        <v>4600</v>
      </c>
      <c r="AR1713">
        <v>2103.0973341673871</v>
      </c>
      <c r="AS1713">
        <v>3000</v>
      </c>
      <c r="AT1713">
        <v>500</v>
      </c>
      <c r="AU1713">
        <v>3000</v>
      </c>
      <c r="AV1713">
        <v>2214</v>
      </c>
    </row>
    <row r="1714" spans="1:48" x14ac:dyDescent="0.25">
      <c r="A1714" t="s">
        <v>200</v>
      </c>
      <c r="B1714" t="s">
        <v>198</v>
      </c>
      <c r="C1714" t="s">
        <v>229</v>
      </c>
      <c r="D1714">
        <v>9140.9359170536864</v>
      </c>
      <c r="E1714">
        <v>8000</v>
      </c>
      <c r="F1714">
        <v>400</v>
      </c>
      <c r="G1714">
        <v>40000</v>
      </c>
      <c r="H1714">
        <v>7743.6069452876436</v>
      </c>
      <c r="I1714">
        <v>7000</v>
      </c>
      <c r="J1714">
        <v>500</v>
      </c>
      <c r="K1714">
        <v>20000</v>
      </c>
      <c r="L1714">
        <v>420.98866275977781</v>
      </c>
      <c r="M1714">
        <v>300</v>
      </c>
      <c r="N1714">
        <v>50</v>
      </c>
      <c r="O1714">
        <v>5000</v>
      </c>
      <c r="P1714">
        <v>556.99348378330023</v>
      </c>
      <c r="Q1714">
        <v>400</v>
      </c>
      <c r="R1714">
        <v>70</v>
      </c>
      <c r="S1714">
        <v>3500</v>
      </c>
      <c r="T1714">
        <v>969.31627165199143</v>
      </c>
      <c r="U1714">
        <v>600</v>
      </c>
      <c r="V1714">
        <v>100</v>
      </c>
      <c r="W1714">
        <v>5000</v>
      </c>
      <c r="X1714">
        <v>612.74447486777956</v>
      </c>
      <c r="Y1714">
        <v>500</v>
      </c>
      <c r="Z1714">
        <v>100</v>
      </c>
      <c r="AA1714">
        <v>3000</v>
      </c>
      <c r="AB1714">
        <v>2092.23773277494</v>
      </c>
      <c r="AC1714">
        <v>1900</v>
      </c>
      <c r="AD1714">
        <v>150</v>
      </c>
      <c r="AE1714">
        <v>7000</v>
      </c>
      <c r="AF1714">
        <v>940.86184149305961</v>
      </c>
      <c r="AG1714">
        <v>800</v>
      </c>
      <c r="AH1714">
        <v>100</v>
      </c>
      <c r="AI1714">
        <v>3000</v>
      </c>
      <c r="AJ1714">
        <v>2069.1695839447079</v>
      </c>
      <c r="AK1714">
        <v>1000</v>
      </c>
      <c r="AL1714">
        <v>50</v>
      </c>
      <c r="AM1714">
        <v>16000</v>
      </c>
      <c r="AN1714">
        <v>712.02750301118181</v>
      </c>
      <c r="AO1714">
        <v>700</v>
      </c>
      <c r="AP1714">
        <v>70</v>
      </c>
      <c r="AQ1714">
        <v>2000</v>
      </c>
      <c r="AR1714">
        <v>2084.03539614187</v>
      </c>
      <c r="AS1714">
        <v>1800</v>
      </c>
      <c r="AT1714">
        <v>300</v>
      </c>
      <c r="AU1714">
        <v>6000</v>
      </c>
      <c r="AV1714">
        <v>2214</v>
      </c>
    </row>
    <row r="1715" spans="1:48" x14ac:dyDescent="0.25">
      <c r="A1715" t="s">
        <v>201</v>
      </c>
      <c r="B1715" t="s">
        <v>198</v>
      </c>
      <c r="C1715" t="s">
        <v>228</v>
      </c>
      <c r="D1715">
        <v>5734.1329141871256</v>
      </c>
      <c r="E1715">
        <v>5000</v>
      </c>
      <c r="F1715">
        <v>500</v>
      </c>
      <c r="G1715">
        <v>20000</v>
      </c>
      <c r="H1715">
        <v>3716.5205356442889</v>
      </c>
      <c r="I1715">
        <v>4000</v>
      </c>
      <c r="J1715">
        <v>300</v>
      </c>
      <c r="K1715">
        <v>12000</v>
      </c>
      <c r="L1715">
        <v>498.78354493852453</v>
      </c>
      <c r="M1715">
        <v>400</v>
      </c>
      <c r="N1715">
        <v>100</v>
      </c>
      <c r="O1715">
        <v>2000</v>
      </c>
      <c r="P1715">
        <v>365.29231491736903</v>
      </c>
      <c r="Q1715">
        <v>300</v>
      </c>
      <c r="R1715">
        <v>50</v>
      </c>
      <c r="S1715">
        <v>1000</v>
      </c>
      <c r="T1715">
        <v>960.56181106349356</v>
      </c>
      <c r="U1715">
        <v>500</v>
      </c>
      <c r="V1715">
        <v>150</v>
      </c>
      <c r="W1715">
        <v>5000</v>
      </c>
      <c r="X1715">
        <v>985.55315918028157</v>
      </c>
      <c r="Y1715">
        <v>800</v>
      </c>
      <c r="Z1715">
        <v>100</v>
      </c>
      <c r="AA1715">
        <v>15000</v>
      </c>
      <c r="AB1715">
        <v>1581.388487452185</v>
      </c>
      <c r="AC1715">
        <v>1300</v>
      </c>
      <c r="AD1715">
        <v>200</v>
      </c>
      <c r="AE1715">
        <v>15000</v>
      </c>
      <c r="AF1715">
        <v>996.28372798214468</v>
      </c>
      <c r="AG1715">
        <v>1000</v>
      </c>
      <c r="AH1715">
        <v>200</v>
      </c>
      <c r="AI1715">
        <v>2000</v>
      </c>
      <c r="AJ1715">
        <v>2559.8405212541752</v>
      </c>
      <c r="AK1715">
        <v>2000</v>
      </c>
      <c r="AL1715">
        <v>100</v>
      </c>
      <c r="AM1715">
        <v>13000</v>
      </c>
      <c r="AN1715">
        <v>613.43384827351179</v>
      </c>
      <c r="AO1715">
        <v>500</v>
      </c>
      <c r="AP1715">
        <v>175</v>
      </c>
      <c r="AQ1715">
        <v>2000</v>
      </c>
      <c r="AR1715">
        <v>5534.4483978827611</v>
      </c>
      <c r="AS1715">
        <v>7500</v>
      </c>
      <c r="AT1715">
        <v>780</v>
      </c>
      <c r="AU1715">
        <v>7500</v>
      </c>
      <c r="AV1715">
        <v>2214</v>
      </c>
    </row>
    <row r="1716" spans="1:48" x14ac:dyDescent="0.25">
      <c r="A1716" t="s">
        <v>201</v>
      </c>
      <c r="B1716" t="s">
        <v>198</v>
      </c>
      <c r="C1716" t="s">
        <v>229</v>
      </c>
      <c r="D1716">
        <v>8265.0476822277615</v>
      </c>
      <c r="E1716">
        <v>6000</v>
      </c>
      <c r="F1716">
        <v>300</v>
      </c>
      <c r="G1716">
        <v>30000</v>
      </c>
      <c r="H1716">
        <v>6285.2911217534656</v>
      </c>
      <c r="I1716">
        <v>6000</v>
      </c>
      <c r="J1716">
        <v>1500</v>
      </c>
      <c r="K1716">
        <v>17000</v>
      </c>
      <c r="L1716">
        <v>619.32082683121507</v>
      </c>
      <c r="M1716">
        <v>500</v>
      </c>
      <c r="N1716">
        <v>50</v>
      </c>
      <c r="O1716">
        <v>5000</v>
      </c>
      <c r="P1716">
        <v>396.53808428620232</v>
      </c>
      <c r="Q1716">
        <v>300</v>
      </c>
      <c r="R1716">
        <v>50</v>
      </c>
      <c r="S1716">
        <v>2000</v>
      </c>
      <c r="T1716">
        <v>899.25443467240962</v>
      </c>
      <c r="U1716">
        <v>600</v>
      </c>
      <c r="V1716">
        <v>100</v>
      </c>
      <c r="W1716">
        <v>4000</v>
      </c>
      <c r="X1716">
        <v>589.26537284797348</v>
      </c>
      <c r="Y1716">
        <v>350</v>
      </c>
      <c r="Z1716">
        <v>100</v>
      </c>
      <c r="AA1716">
        <v>3500</v>
      </c>
      <c r="AB1716">
        <v>2104.521391176148</v>
      </c>
      <c r="AC1716">
        <v>1800</v>
      </c>
      <c r="AD1716">
        <v>300</v>
      </c>
      <c r="AE1716">
        <v>12500</v>
      </c>
      <c r="AF1716">
        <v>976.66230214606844</v>
      </c>
      <c r="AG1716">
        <v>1000</v>
      </c>
      <c r="AH1716">
        <v>100</v>
      </c>
      <c r="AI1716">
        <v>2000</v>
      </c>
      <c r="AJ1716">
        <v>1275.156160776952</v>
      </c>
      <c r="AK1716">
        <v>600</v>
      </c>
      <c r="AL1716">
        <v>56</v>
      </c>
      <c r="AM1716">
        <v>13000</v>
      </c>
      <c r="AN1716">
        <v>685.23785138522032</v>
      </c>
      <c r="AO1716">
        <v>630</v>
      </c>
      <c r="AP1716">
        <v>54</v>
      </c>
      <c r="AQ1716">
        <v>2100</v>
      </c>
      <c r="AR1716">
        <v>2366.1345143397248</v>
      </c>
      <c r="AS1716">
        <v>2000</v>
      </c>
      <c r="AT1716">
        <v>320</v>
      </c>
      <c r="AU1716">
        <v>7000</v>
      </c>
      <c r="AV1716">
        <v>2214</v>
      </c>
    </row>
    <row r="1717" spans="1:48" x14ac:dyDescent="0.25">
      <c r="A1717" t="s">
        <v>202</v>
      </c>
      <c r="B1717" t="s">
        <v>198</v>
      </c>
      <c r="C1717" t="s">
        <v>228</v>
      </c>
      <c r="D1717">
        <v>5414.4320738850638</v>
      </c>
      <c r="E1717">
        <v>4000</v>
      </c>
      <c r="F1717">
        <v>1000</v>
      </c>
      <c r="G1717">
        <v>18000</v>
      </c>
      <c r="H1717">
        <v>4969.9067028567124</v>
      </c>
      <c r="I1717">
        <v>6500</v>
      </c>
      <c r="J1717">
        <v>1000</v>
      </c>
      <c r="K1717">
        <v>10000</v>
      </c>
      <c r="L1717">
        <v>499.99999999999989</v>
      </c>
      <c r="M1717">
        <v>500</v>
      </c>
      <c r="N1717">
        <v>500</v>
      </c>
      <c r="O1717">
        <v>500</v>
      </c>
      <c r="P1717">
        <v>241.13357089482801</v>
      </c>
      <c r="Q1717">
        <v>300</v>
      </c>
      <c r="R1717">
        <v>100</v>
      </c>
      <c r="S1717">
        <v>1000</v>
      </c>
      <c r="T1717">
        <v>556.9417602873707</v>
      </c>
      <c r="U1717">
        <v>500</v>
      </c>
      <c r="V1717">
        <v>200</v>
      </c>
      <c r="W1717">
        <v>2000</v>
      </c>
      <c r="X1717">
        <v>857.93496630445941</v>
      </c>
      <c r="Y1717">
        <v>600</v>
      </c>
      <c r="Z1717">
        <v>600</v>
      </c>
      <c r="AA1717">
        <v>2500</v>
      </c>
      <c r="AB1717">
        <v>1206.7077735306079</v>
      </c>
      <c r="AC1717">
        <v>1300</v>
      </c>
      <c r="AD1717">
        <v>300</v>
      </c>
      <c r="AE1717">
        <v>2500</v>
      </c>
      <c r="AF1717">
        <v>898.451571962005</v>
      </c>
      <c r="AG1717">
        <v>3000</v>
      </c>
      <c r="AH1717">
        <v>400</v>
      </c>
      <c r="AI1717">
        <v>3000</v>
      </c>
      <c r="AJ1717">
        <v>1535.7501841340979</v>
      </c>
      <c r="AK1717">
        <v>1000</v>
      </c>
      <c r="AL1717">
        <v>100</v>
      </c>
      <c r="AM1717">
        <v>5000</v>
      </c>
      <c r="AN1717">
        <v>470.94017667300182</v>
      </c>
      <c r="AO1717">
        <v>500</v>
      </c>
      <c r="AP1717">
        <v>100</v>
      </c>
      <c r="AQ1717">
        <v>1000</v>
      </c>
      <c r="AR1717">
        <v>1684.370842016973</v>
      </c>
      <c r="AS1717">
        <v>1600</v>
      </c>
      <c r="AT1717">
        <v>1600</v>
      </c>
      <c r="AU1717">
        <v>2000</v>
      </c>
      <c r="AV1717">
        <v>2214</v>
      </c>
    </row>
    <row r="1718" spans="1:48" x14ac:dyDescent="0.25">
      <c r="A1718" t="s">
        <v>202</v>
      </c>
      <c r="B1718" t="s">
        <v>198</v>
      </c>
      <c r="C1718" t="s">
        <v>229</v>
      </c>
      <c r="D1718">
        <v>8280.4060879645785</v>
      </c>
      <c r="E1718">
        <v>7500</v>
      </c>
      <c r="F1718">
        <v>500</v>
      </c>
      <c r="G1718">
        <v>25000</v>
      </c>
      <c r="H1718">
        <v>7235.1853338164656</v>
      </c>
      <c r="I1718">
        <v>8000</v>
      </c>
      <c r="J1718">
        <v>450</v>
      </c>
      <c r="K1718">
        <v>16000</v>
      </c>
      <c r="L1718">
        <v>491.5041573169031</v>
      </c>
      <c r="M1718">
        <v>500</v>
      </c>
      <c r="N1718">
        <v>50</v>
      </c>
      <c r="O1718">
        <v>1500</v>
      </c>
      <c r="P1718">
        <v>639.49862329333791</v>
      </c>
      <c r="Q1718">
        <v>500</v>
      </c>
      <c r="R1718">
        <v>50</v>
      </c>
      <c r="S1718">
        <v>10000</v>
      </c>
      <c r="T1718">
        <v>898.43113455739717</v>
      </c>
      <c r="U1718">
        <v>800</v>
      </c>
      <c r="V1718">
        <v>100</v>
      </c>
      <c r="W1718">
        <v>3000</v>
      </c>
      <c r="X1718">
        <v>608.51205311978515</v>
      </c>
      <c r="Y1718">
        <v>500</v>
      </c>
      <c r="Z1718">
        <v>200</v>
      </c>
      <c r="AA1718">
        <v>2000</v>
      </c>
      <c r="AB1718">
        <v>2001.9366717372229</v>
      </c>
      <c r="AC1718">
        <v>1500</v>
      </c>
      <c r="AD1718">
        <v>400</v>
      </c>
      <c r="AE1718">
        <v>30000</v>
      </c>
      <c r="AF1718">
        <v>1202.244350339733</v>
      </c>
      <c r="AG1718">
        <v>700</v>
      </c>
      <c r="AH1718">
        <v>100</v>
      </c>
      <c r="AI1718">
        <v>4000</v>
      </c>
      <c r="AJ1718">
        <v>1799.406664108775</v>
      </c>
      <c r="AK1718">
        <v>700</v>
      </c>
      <c r="AL1718">
        <v>100</v>
      </c>
      <c r="AM1718">
        <v>15000</v>
      </c>
      <c r="AN1718">
        <v>577.93085999622701</v>
      </c>
      <c r="AO1718">
        <v>500</v>
      </c>
      <c r="AP1718">
        <v>50</v>
      </c>
      <c r="AQ1718">
        <v>1500</v>
      </c>
      <c r="AR1718">
        <v>2034.1484204545091</v>
      </c>
      <c r="AS1718">
        <v>1800</v>
      </c>
      <c r="AT1718">
        <v>1300</v>
      </c>
      <c r="AU1718">
        <v>3500</v>
      </c>
      <c r="AV1718">
        <v>2214</v>
      </c>
    </row>
    <row r="1719" spans="1:48" x14ac:dyDescent="0.25">
      <c r="A1719" t="s">
        <v>199</v>
      </c>
      <c r="B1719" t="s">
        <v>203</v>
      </c>
      <c r="C1719" t="s">
        <v>228</v>
      </c>
      <c r="D1719">
        <v>7204.0716579376976</v>
      </c>
      <c r="E1719">
        <v>6000</v>
      </c>
      <c r="F1719">
        <v>500</v>
      </c>
      <c r="G1719">
        <v>20000</v>
      </c>
      <c r="H1719">
        <v>8770.0689354521601</v>
      </c>
      <c r="I1719">
        <v>14000</v>
      </c>
      <c r="J1719">
        <v>1000</v>
      </c>
      <c r="K1719">
        <v>14000</v>
      </c>
      <c r="L1719">
        <v>608.43510520743848</v>
      </c>
      <c r="M1719">
        <v>400</v>
      </c>
      <c r="N1719">
        <v>75</v>
      </c>
      <c r="O1719">
        <v>3000</v>
      </c>
      <c r="P1719">
        <v>1022.091827884382</v>
      </c>
      <c r="Q1719">
        <v>300</v>
      </c>
      <c r="R1719">
        <v>100</v>
      </c>
      <c r="S1719">
        <v>5000</v>
      </c>
      <c r="T1719">
        <v>785.81621866932494</v>
      </c>
      <c r="U1719">
        <v>500</v>
      </c>
      <c r="V1719">
        <v>200</v>
      </c>
      <c r="W1719">
        <v>5000</v>
      </c>
      <c r="X1719">
        <v>435.74441413570639</v>
      </c>
      <c r="Y1719">
        <v>300</v>
      </c>
      <c r="Z1719">
        <v>100</v>
      </c>
      <c r="AA1719">
        <v>3000</v>
      </c>
      <c r="AB1719">
        <v>1765.141720647023</v>
      </c>
      <c r="AC1719">
        <v>1400</v>
      </c>
      <c r="AD1719">
        <v>200</v>
      </c>
      <c r="AE1719">
        <v>6000</v>
      </c>
      <c r="AF1719">
        <v>1696.993966315667</v>
      </c>
      <c r="AG1719">
        <v>1000</v>
      </c>
      <c r="AH1719">
        <v>200</v>
      </c>
      <c r="AI1719">
        <v>18000</v>
      </c>
      <c r="AJ1719">
        <v>2233.4714238742658</v>
      </c>
      <c r="AK1719">
        <v>1600</v>
      </c>
      <c r="AL1719">
        <v>60</v>
      </c>
      <c r="AM1719">
        <v>10000</v>
      </c>
      <c r="AN1719">
        <v>731.1833646371183</v>
      </c>
      <c r="AO1719">
        <v>610</v>
      </c>
      <c r="AP1719">
        <v>100</v>
      </c>
      <c r="AQ1719">
        <v>2500</v>
      </c>
      <c r="AR1719">
        <v>2089.407911331898</v>
      </c>
      <c r="AS1719">
        <v>2400</v>
      </c>
      <c r="AT1719">
        <v>100</v>
      </c>
      <c r="AU1719">
        <v>5000</v>
      </c>
      <c r="AV1719">
        <v>2214</v>
      </c>
    </row>
    <row r="1720" spans="1:48" x14ac:dyDescent="0.25">
      <c r="A1720" t="s">
        <v>199</v>
      </c>
      <c r="B1720" t="s">
        <v>203</v>
      </c>
      <c r="C1720" t="s">
        <v>229</v>
      </c>
      <c r="D1720">
        <v>7987.1349783131263</v>
      </c>
      <c r="E1720">
        <v>8000</v>
      </c>
      <c r="F1720">
        <v>500</v>
      </c>
      <c r="G1720">
        <v>30000</v>
      </c>
      <c r="H1720">
        <v>5243.5833642435573</v>
      </c>
      <c r="I1720">
        <v>5000</v>
      </c>
      <c r="J1720">
        <v>1200</v>
      </c>
      <c r="K1720">
        <v>10000</v>
      </c>
      <c r="L1720">
        <v>405.47160007936492</v>
      </c>
      <c r="M1720">
        <v>350</v>
      </c>
      <c r="N1720">
        <v>60</v>
      </c>
      <c r="O1720">
        <v>5000</v>
      </c>
      <c r="P1720">
        <v>545.79018852915715</v>
      </c>
      <c r="Q1720">
        <v>500</v>
      </c>
      <c r="R1720">
        <v>50</v>
      </c>
      <c r="S1720">
        <v>10000</v>
      </c>
      <c r="T1720">
        <v>1015.1261378202061</v>
      </c>
      <c r="U1720">
        <v>800</v>
      </c>
      <c r="V1720">
        <v>100</v>
      </c>
      <c r="W1720">
        <v>5000</v>
      </c>
      <c r="X1720">
        <v>594.81712679004499</v>
      </c>
      <c r="Y1720">
        <v>350</v>
      </c>
      <c r="Z1720">
        <v>100</v>
      </c>
      <c r="AA1720">
        <v>6000</v>
      </c>
      <c r="AB1720">
        <v>1688.8676661747929</v>
      </c>
      <c r="AC1720">
        <v>1500</v>
      </c>
      <c r="AD1720">
        <v>300</v>
      </c>
      <c r="AE1720">
        <v>8000</v>
      </c>
      <c r="AF1720">
        <v>764.11788932718207</v>
      </c>
      <c r="AG1720">
        <v>1000</v>
      </c>
      <c r="AH1720">
        <v>100</v>
      </c>
      <c r="AI1720">
        <v>4000</v>
      </c>
      <c r="AJ1720">
        <v>3013.095834052725</v>
      </c>
      <c r="AK1720">
        <v>2000</v>
      </c>
      <c r="AL1720">
        <v>50</v>
      </c>
      <c r="AM1720">
        <v>20000</v>
      </c>
      <c r="AN1720">
        <v>727.32946445869061</v>
      </c>
      <c r="AO1720">
        <v>800</v>
      </c>
      <c r="AP1720">
        <v>100</v>
      </c>
      <c r="AQ1720">
        <v>6500</v>
      </c>
      <c r="AR1720">
        <v>2325.9537756691011</v>
      </c>
      <c r="AS1720">
        <v>1500</v>
      </c>
      <c r="AT1720">
        <v>100</v>
      </c>
      <c r="AU1720">
        <v>20000</v>
      </c>
      <c r="AV1720">
        <v>2214</v>
      </c>
    </row>
    <row r="1721" spans="1:48" x14ac:dyDescent="0.25">
      <c r="A1721" t="s">
        <v>200</v>
      </c>
      <c r="B1721" t="s">
        <v>203</v>
      </c>
      <c r="C1721" t="s">
        <v>228</v>
      </c>
      <c r="D1721">
        <v>9757.0549162216357</v>
      </c>
      <c r="E1721">
        <v>9000</v>
      </c>
      <c r="F1721">
        <v>200</v>
      </c>
      <c r="G1721">
        <v>40000</v>
      </c>
      <c r="H1721">
        <v>8605.9134266627789</v>
      </c>
      <c r="I1721">
        <v>8000</v>
      </c>
      <c r="J1721">
        <v>2000</v>
      </c>
      <c r="K1721">
        <v>20000</v>
      </c>
      <c r="L1721">
        <v>607.78086486213999</v>
      </c>
      <c r="M1721">
        <v>450</v>
      </c>
      <c r="N1721">
        <v>70</v>
      </c>
      <c r="O1721">
        <v>5000</v>
      </c>
      <c r="P1721">
        <v>753.71839036405868</v>
      </c>
      <c r="Q1721">
        <v>500</v>
      </c>
      <c r="R1721">
        <v>100</v>
      </c>
      <c r="S1721">
        <v>5000</v>
      </c>
      <c r="T1721">
        <v>1146.2594529891589</v>
      </c>
      <c r="U1721">
        <v>1000</v>
      </c>
      <c r="V1721">
        <v>120</v>
      </c>
      <c r="W1721">
        <v>5000</v>
      </c>
      <c r="X1721">
        <v>1372.2358251895471</v>
      </c>
      <c r="Y1721">
        <v>500</v>
      </c>
      <c r="Z1721">
        <v>100</v>
      </c>
      <c r="AA1721">
        <v>13800</v>
      </c>
      <c r="AB1721">
        <v>2059.2439668430811</v>
      </c>
      <c r="AC1721">
        <v>1900</v>
      </c>
      <c r="AD1721">
        <v>100</v>
      </c>
      <c r="AE1721">
        <v>12000</v>
      </c>
      <c r="AF1721">
        <v>934.18453794728418</v>
      </c>
      <c r="AG1721">
        <v>800</v>
      </c>
      <c r="AH1721">
        <v>100</v>
      </c>
      <c r="AI1721">
        <v>11000</v>
      </c>
      <c r="AJ1721">
        <v>4057.431140705537</v>
      </c>
      <c r="AK1721">
        <v>3000</v>
      </c>
      <c r="AL1721">
        <v>100</v>
      </c>
      <c r="AM1721">
        <v>100000</v>
      </c>
      <c r="AN1721">
        <v>843.88544332264712</v>
      </c>
      <c r="AO1721">
        <v>800</v>
      </c>
      <c r="AP1721">
        <v>90</v>
      </c>
      <c r="AQ1721">
        <v>6000</v>
      </c>
      <c r="AR1721">
        <v>4030.4782920160428</v>
      </c>
      <c r="AS1721">
        <v>2800</v>
      </c>
      <c r="AT1721">
        <v>150</v>
      </c>
      <c r="AU1721">
        <v>20000</v>
      </c>
      <c r="AV1721">
        <v>2214</v>
      </c>
    </row>
    <row r="1722" spans="1:48" x14ac:dyDescent="0.25">
      <c r="A1722" t="s">
        <v>200</v>
      </c>
      <c r="B1722" t="s">
        <v>203</v>
      </c>
      <c r="C1722" t="s">
        <v>229</v>
      </c>
      <c r="D1722">
        <v>9879.7872483269293</v>
      </c>
      <c r="E1722">
        <v>10000</v>
      </c>
      <c r="F1722">
        <v>500</v>
      </c>
      <c r="G1722">
        <v>30000</v>
      </c>
      <c r="H1722">
        <v>7037.1824347047996</v>
      </c>
      <c r="I1722">
        <v>7000</v>
      </c>
      <c r="J1722">
        <v>300</v>
      </c>
      <c r="K1722">
        <v>18000</v>
      </c>
      <c r="L1722">
        <v>713.69613118048801</v>
      </c>
      <c r="M1722">
        <v>500</v>
      </c>
      <c r="N1722">
        <v>70</v>
      </c>
      <c r="O1722">
        <v>5000</v>
      </c>
      <c r="P1722">
        <v>666.95412247966499</v>
      </c>
      <c r="Q1722">
        <v>400</v>
      </c>
      <c r="R1722">
        <v>50</v>
      </c>
      <c r="S1722">
        <v>10000</v>
      </c>
      <c r="T1722">
        <v>980.05352980490125</v>
      </c>
      <c r="U1722">
        <v>700</v>
      </c>
      <c r="V1722">
        <v>100</v>
      </c>
      <c r="W1722">
        <v>5000</v>
      </c>
      <c r="X1722">
        <v>1365.2939698137391</v>
      </c>
      <c r="Y1722">
        <v>800</v>
      </c>
      <c r="Z1722">
        <v>100</v>
      </c>
      <c r="AA1722">
        <v>5000</v>
      </c>
      <c r="AB1722">
        <v>2270.8578731308671</v>
      </c>
      <c r="AC1722">
        <v>1700</v>
      </c>
      <c r="AD1722">
        <v>300</v>
      </c>
      <c r="AE1722">
        <v>12000</v>
      </c>
      <c r="AF1722">
        <v>1072.0859166335731</v>
      </c>
      <c r="AG1722">
        <v>800</v>
      </c>
      <c r="AH1722">
        <v>100</v>
      </c>
      <c r="AI1722">
        <v>6000</v>
      </c>
      <c r="AJ1722">
        <v>3164.9700730633899</v>
      </c>
      <c r="AK1722">
        <v>3000</v>
      </c>
      <c r="AL1722">
        <v>50</v>
      </c>
      <c r="AM1722">
        <v>20000</v>
      </c>
      <c r="AN1722">
        <v>727.48879670388351</v>
      </c>
      <c r="AO1722">
        <v>700</v>
      </c>
      <c r="AP1722">
        <v>100</v>
      </c>
      <c r="AQ1722">
        <v>7000</v>
      </c>
      <c r="AR1722">
        <v>3789.165027064987</v>
      </c>
      <c r="AS1722">
        <v>2000</v>
      </c>
      <c r="AT1722">
        <v>150</v>
      </c>
      <c r="AU1722">
        <v>24000</v>
      </c>
      <c r="AV1722">
        <v>2214</v>
      </c>
    </row>
    <row r="1723" spans="1:48" x14ac:dyDescent="0.25">
      <c r="A1723" t="s">
        <v>201</v>
      </c>
      <c r="B1723" t="s">
        <v>203</v>
      </c>
      <c r="C1723" t="s">
        <v>228</v>
      </c>
      <c r="D1723">
        <v>5477.8398106513187</v>
      </c>
      <c r="E1723">
        <v>5000</v>
      </c>
      <c r="F1723">
        <v>300</v>
      </c>
      <c r="G1723">
        <v>45000</v>
      </c>
      <c r="H1723">
        <v>6053.566319208463</v>
      </c>
      <c r="I1723">
        <v>9000</v>
      </c>
      <c r="J1723">
        <v>670</v>
      </c>
      <c r="K1723">
        <v>9000</v>
      </c>
      <c r="L1723">
        <v>511.99138806548041</v>
      </c>
      <c r="M1723">
        <v>330</v>
      </c>
      <c r="N1723">
        <v>60</v>
      </c>
      <c r="O1723">
        <v>3000</v>
      </c>
      <c r="P1723">
        <v>370.3759581537692</v>
      </c>
      <c r="Q1723">
        <v>300</v>
      </c>
      <c r="R1723">
        <v>50</v>
      </c>
      <c r="S1723">
        <v>3000</v>
      </c>
      <c r="T1723">
        <v>705.01590570949054</v>
      </c>
      <c r="U1723">
        <v>500</v>
      </c>
      <c r="V1723">
        <v>100</v>
      </c>
      <c r="W1723">
        <v>5000</v>
      </c>
      <c r="X1723">
        <v>718.98414756073203</v>
      </c>
      <c r="Y1723">
        <v>400</v>
      </c>
      <c r="Z1723">
        <v>100</v>
      </c>
      <c r="AA1723">
        <v>10000</v>
      </c>
      <c r="AB1723">
        <v>1771.612935250419</v>
      </c>
      <c r="AC1723">
        <v>1600</v>
      </c>
      <c r="AD1723">
        <v>200</v>
      </c>
      <c r="AE1723">
        <v>7000</v>
      </c>
      <c r="AF1723">
        <v>896.80285289172707</v>
      </c>
      <c r="AG1723">
        <v>1000</v>
      </c>
      <c r="AH1723">
        <v>150</v>
      </c>
      <c r="AI1723">
        <v>13000</v>
      </c>
      <c r="AJ1723">
        <v>2177.814886583084</v>
      </c>
      <c r="AK1723">
        <v>2000</v>
      </c>
      <c r="AL1723">
        <v>50</v>
      </c>
      <c r="AM1723">
        <v>15000</v>
      </c>
      <c r="AN1723">
        <v>704.39967774671584</v>
      </c>
      <c r="AO1723">
        <v>750</v>
      </c>
      <c r="AP1723">
        <v>100</v>
      </c>
      <c r="AQ1723">
        <v>7000</v>
      </c>
      <c r="AR1723">
        <v>1519.442103992631</v>
      </c>
      <c r="AS1723">
        <v>2000</v>
      </c>
      <c r="AT1723">
        <v>150</v>
      </c>
      <c r="AU1723">
        <v>5000</v>
      </c>
      <c r="AV1723">
        <v>2214</v>
      </c>
    </row>
    <row r="1724" spans="1:48" x14ac:dyDescent="0.25">
      <c r="A1724" t="s">
        <v>201</v>
      </c>
      <c r="B1724" t="s">
        <v>203</v>
      </c>
      <c r="C1724" t="s">
        <v>229</v>
      </c>
      <c r="D1724">
        <v>10023.304228507301</v>
      </c>
      <c r="E1724">
        <v>8000</v>
      </c>
      <c r="F1724">
        <v>300</v>
      </c>
      <c r="G1724">
        <v>40000</v>
      </c>
      <c r="H1724">
        <v>5351.2324541700746</v>
      </c>
      <c r="I1724">
        <v>6000</v>
      </c>
      <c r="J1724">
        <v>500</v>
      </c>
      <c r="K1724">
        <v>8300</v>
      </c>
      <c r="L1724">
        <v>396.45140512746218</v>
      </c>
      <c r="M1724">
        <v>300</v>
      </c>
      <c r="N1724">
        <v>80</v>
      </c>
      <c r="O1724">
        <v>1500</v>
      </c>
      <c r="P1724">
        <v>481.36269988559002</v>
      </c>
      <c r="Q1724">
        <v>300</v>
      </c>
      <c r="R1724">
        <v>50</v>
      </c>
      <c r="S1724">
        <v>3000</v>
      </c>
      <c r="T1724">
        <v>1098.1788327925949</v>
      </c>
      <c r="U1724">
        <v>700</v>
      </c>
      <c r="V1724">
        <v>150</v>
      </c>
      <c r="W1724">
        <v>25000</v>
      </c>
      <c r="X1724">
        <v>370.05648010995043</v>
      </c>
      <c r="Y1724">
        <v>300</v>
      </c>
      <c r="Z1724">
        <v>100</v>
      </c>
      <c r="AA1724">
        <v>2000</v>
      </c>
      <c r="AB1724">
        <v>1809.682862286528</v>
      </c>
      <c r="AC1724">
        <v>1500</v>
      </c>
      <c r="AD1724">
        <v>200</v>
      </c>
      <c r="AE1724">
        <v>8000</v>
      </c>
      <c r="AF1724">
        <v>2047.0083123290381</v>
      </c>
      <c r="AG1724">
        <v>1000</v>
      </c>
      <c r="AH1724">
        <v>180</v>
      </c>
      <c r="AI1724">
        <v>5000</v>
      </c>
      <c r="AJ1724">
        <v>2488.499056893088</v>
      </c>
      <c r="AK1724">
        <v>2000</v>
      </c>
      <c r="AL1724">
        <v>50</v>
      </c>
      <c r="AM1724">
        <v>8000</v>
      </c>
      <c r="AN1724">
        <v>632.93068230136203</v>
      </c>
      <c r="AO1724">
        <v>600</v>
      </c>
      <c r="AP1724">
        <v>100</v>
      </c>
      <c r="AQ1724">
        <v>1500</v>
      </c>
      <c r="AR1724">
        <v>2725.9400627788691</v>
      </c>
      <c r="AS1724">
        <v>2500</v>
      </c>
      <c r="AT1724">
        <v>300</v>
      </c>
      <c r="AU1724">
        <v>20000</v>
      </c>
      <c r="AV1724">
        <v>2214</v>
      </c>
    </row>
    <row r="1725" spans="1:48" x14ac:dyDescent="0.25">
      <c r="A1725" t="s">
        <v>202</v>
      </c>
      <c r="B1725" t="s">
        <v>203</v>
      </c>
      <c r="C1725" t="s">
        <v>228</v>
      </c>
      <c r="D1725">
        <v>8713.5546625496245</v>
      </c>
      <c r="E1725">
        <v>10000</v>
      </c>
      <c r="F1725">
        <v>1500</v>
      </c>
      <c r="G1725">
        <v>20000</v>
      </c>
      <c r="L1725">
        <v>346.15126686703599</v>
      </c>
      <c r="M1725">
        <v>500</v>
      </c>
      <c r="N1725">
        <v>80</v>
      </c>
      <c r="O1725">
        <v>500</v>
      </c>
      <c r="P1725">
        <v>694.63618605755744</v>
      </c>
      <c r="Q1725">
        <v>560</v>
      </c>
      <c r="R1725">
        <v>100</v>
      </c>
      <c r="S1725">
        <v>2000</v>
      </c>
      <c r="T1725">
        <v>1293.692212024067</v>
      </c>
      <c r="U1725">
        <v>1000</v>
      </c>
      <c r="V1725">
        <v>120</v>
      </c>
      <c r="W1725">
        <v>10000</v>
      </c>
      <c r="X1725">
        <v>987.82427941520416</v>
      </c>
      <c r="Y1725">
        <v>750</v>
      </c>
      <c r="Z1725">
        <v>100</v>
      </c>
      <c r="AA1725">
        <v>2500</v>
      </c>
      <c r="AB1725">
        <v>2128.709066899728</v>
      </c>
      <c r="AC1725">
        <v>1700</v>
      </c>
      <c r="AD1725">
        <v>210</v>
      </c>
      <c r="AE1725">
        <v>8000</v>
      </c>
      <c r="AF1725">
        <v>1611.7602204620589</v>
      </c>
      <c r="AG1725">
        <v>3000</v>
      </c>
      <c r="AH1725">
        <v>500</v>
      </c>
      <c r="AI1725">
        <v>3000</v>
      </c>
      <c r="AJ1725">
        <v>2412.8718711402789</v>
      </c>
      <c r="AK1725">
        <v>2000</v>
      </c>
      <c r="AL1725">
        <v>100</v>
      </c>
      <c r="AM1725">
        <v>7000</v>
      </c>
      <c r="AN1725">
        <v>710.72790141558778</v>
      </c>
      <c r="AO1725">
        <v>600</v>
      </c>
      <c r="AP1725">
        <v>165</v>
      </c>
      <c r="AQ1725">
        <v>3000</v>
      </c>
      <c r="AR1725">
        <v>1708.5582456234549</v>
      </c>
      <c r="AS1725">
        <v>1800</v>
      </c>
      <c r="AT1725">
        <v>400</v>
      </c>
      <c r="AU1725">
        <v>4000</v>
      </c>
      <c r="AV1725">
        <v>2214</v>
      </c>
    </row>
    <row r="1726" spans="1:48" x14ac:dyDescent="0.25">
      <c r="A1726" t="s">
        <v>202</v>
      </c>
      <c r="B1726" t="s">
        <v>203</v>
      </c>
      <c r="C1726" t="s">
        <v>229</v>
      </c>
      <c r="D1726">
        <v>8884.9043338549436</v>
      </c>
      <c r="E1726">
        <v>8000</v>
      </c>
      <c r="F1726">
        <v>1500</v>
      </c>
      <c r="G1726">
        <v>30000</v>
      </c>
      <c r="H1726">
        <v>6676.9642811973736</v>
      </c>
      <c r="I1726">
        <v>7000</v>
      </c>
      <c r="J1726">
        <v>800</v>
      </c>
      <c r="K1726">
        <v>15000</v>
      </c>
      <c r="L1726">
        <v>364.4396622784202</v>
      </c>
      <c r="M1726">
        <v>300</v>
      </c>
      <c r="N1726">
        <v>150</v>
      </c>
      <c r="O1726">
        <v>1000</v>
      </c>
      <c r="P1726">
        <v>940.91923813677613</v>
      </c>
      <c r="Q1726">
        <v>650</v>
      </c>
      <c r="R1726">
        <v>100</v>
      </c>
      <c r="S1726">
        <v>5000</v>
      </c>
      <c r="T1726">
        <v>990.32902389478454</v>
      </c>
      <c r="U1726">
        <v>1000</v>
      </c>
      <c r="V1726">
        <v>150</v>
      </c>
      <c r="W1726">
        <v>3500</v>
      </c>
      <c r="X1726">
        <v>719.37359999142586</v>
      </c>
      <c r="Y1726">
        <v>350</v>
      </c>
      <c r="Z1726">
        <v>100</v>
      </c>
      <c r="AA1726">
        <v>4000</v>
      </c>
      <c r="AB1726">
        <v>1684.5145429632651</v>
      </c>
      <c r="AC1726">
        <v>1700</v>
      </c>
      <c r="AD1726">
        <v>600</v>
      </c>
      <c r="AE1726">
        <v>3000</v>
      </c>
      <c r="AF1726">
        <v>415.71331081850082</v>
      </c>
      <c r="AG1726">
        <v>250</v>
      </c>
      <c r="AH1726">
        <v>150</v>
      </c>
      <c r="AI1726">
        <v>3500</v>
      </c>
      <c r="AJ1726">
        <v>1834.4975244674411</v>
      </c>
      <c r="AK1726">
        <v>1000</v>
      </c>
      <c r="AL1726">
        <v>50</v>
      </c>
      <c r="AM1726">
        <v>8000</v>
      </c>
      <c r="AN1726">
        <v>611.62562022171403</v>
      </c>
      <c r="AO1726">
        <v>550</v>
      </c>
      <c r="AP1726">
        <v>100</v>
      </c>
      <c r="AQ1726">
        <v>1500</v>
      </c>
      <c r="AR1726">
        <v>2384.416173401763</v>
      </c>
      <c r="AS1726">
        <v>2800</v>
      </c>
      <c r="AT1726">
        <v>500</v>
      </c>
      <c r="AU1726">
        <v>5000</v>
      </c>
      <c r="AV1726">
        <v>2214</v>
      </c>
    </row>
    <row r="1727" spans="1:48" x14ac:dyDescent="0.25">
      <c r="A1727" t="s">
        <v>204</v>
      </c>
      <c r="B1727" t="s">
        <v>204</v>
      </c>
      <c r="C1727" t="s">
        <v>204</v>
      </c>
      <c r="D1727">
        <v>8436.3784794976564</v>
      </c>
      <c r="E1727">
        <v>7000</v>
      </c>
      <c r="F1727">
        <v>200</v>
      </c>
      <c r="G1727">
        <v>45000</v>
      </c>
      <c r="H1727">
        <v>6501.194936879966</v>
      </c>
      <c r="I1727">
        <v>6000</v>
      </c>
      <c r="J1727">
        <v>300</v>
      </c>
      <c r="K1727">
        <v>40000</v>
      </c>
      <c r="L1727">
        <v>502.89353372501961</v>
      </c>
      <c r="M1727">
        <v>350</v>
      </c>
      <c r="N1727">
        <v>50</v>
      </c>
      <c r="O1727">
        <v>5000</v>
      </c>
      <c r="P1727">
        <v>616.13024906608359</v>
      </c>
      <c r="Q1727">
        <v>400</v>
      </c>
      <c r="R1727">
        <v>50</v>
      </c>
      <c r="S1727">
        <v>10000</v>
      </c>
      <c r="T1727">
        <v>951.18609842854551</v>
      </c>
      <c r="U1727">
        <v>700</v>
      </c>
      <c r="V1727">
        <v>100</v>
      </c>
      <c r="W1727">
        <v>25000</v>
      </c>
      <c r="X1727">
        <v>858.09262746016225</v>
      </c>
      <c r="Y1727">
        <v>500</v>
      </c>
      <c r="Z1727">
        <v>100</v>
      </c>
      <c r="AA1727">
        <v>15000</v>
      </c>
      <c r="AB1727">
        <v>1908.486300427109</v>
      </c>
      <c r="AC1727">
        <v>1500</v>
      </c>
      <c r="AD1727">
        <v>100</v>
      </c>
      <c r="AE1727">
        <v>30000</v>
      </c>
      <c r="AF1727">
        <v>1002.315677150625</v>
      </c>
      <c r="AG1727">
        <v>600</v>
      </c>
      <c r="AH1727">
        <v>100</v>
      </c>
      <c r="AI1727">
        <v>18000</v>
      </c>
      <c r="AJ1727">
        <v>2625.8503028560222</v>
      </c>
      <c r="AK1727">
        <v>1500</v>
      </c>
      <c r="AL1727">
        <v>50</v>
      </c>
      <c r="AM1727">
        <v>100000</v>
      </c>
      <c r="AN1727">
        <v>685.85523947275476</v>
      </c>
      <c r="AO1727">
        <v>600</v>
      </c>
      <c r="AP1727">
        <v>50</v>
      </c>
      <c r="AQ1727">
        <v>7000</v>
      </c>
      <c r="AR1727">
        <v>2975.2918666204</v>
      </c>
      <c r="AS1727">
        <v>2000</v>
      </c>
      <c r="AT1727">
        <v>100</v>
      </c>
      <c r="AU1727">
        <v>24000</v>
      </c>
      <c r="AV1727">
        <v>2214</v>
      </c>
    </row>
    <row r="1729" spans="1:48" x14ac:dyDescent="0.25">
      <c r="A1729" t="s">
        <v>526</v>
      </c>
    </row>
    <row r="1730" spans="1:48" x14ac:dyDescent="0.25">
      <c r="A1730" t="s">
        <v>189</v>
      </c>
      <c r="B1730" t="s">
        <v>190</v>
      </c>
      <c r="C1730" t="s">
        <v>206</v>
      </c>
      <c r="D1730" t="s">
        <v>481</v>
      </c>
      <c r="E1730" t="s">
        <v>482</v>
      </c>
      <c r="F1730" t="s">
        <v>483</v>
      </c>
      <c r="G1730" t="s">
        <v>484</v>
      </c>
      <c r="H1730" t="s">
        <v>485</v>
      </c>
      <c r="I1730" t="s">
        <v>486</v>
      </c>
      <c r="J1730" t="s">
        <v>487</v>
      </c>
      <c r="K1730" t="s">
        <v>488</v>
      </c>
      <c r="L1730" t="s">
        <v>489</v>
      </c>
      <c r="M1730" t="s">
        <v>490</v>
      </c>
      <c r="N1730" t="s">
        <v>491</v>
      </c>
      <c r="O1730" t="s">
        <v>492</v>
      </c>
      <c r="P1730" t="s">
        <v>493</v>
      </c>
      <c r="Q1730" t="s">
        <v>494</v>
      </c>
      <c r="R1730" t="s">
        <v>495</v>
      </c>
      <c r="S1730" t="s">
        <v>496</v>
      </c>
      <c r="T1730" t="s">
        <v>497</v>
      </c>
      <c r="U1730" t="s">
        <v>498</v>
      </c>
      <c r="V1730" t="s">
        <v>499</v>
      </c>
      <c r="W1730" t="s">
        <v>500</v>
      </c>
      <c r="X1730" t="s">
        <v>501</v>
      </c>
      <c r="Y1730" t="s">
        <v>502</v>
      </c>
      <c r="Z1730" t="s">
        <v>503</v>
      </c>
      <c r="AA1730" t="s">
        <v>504</v>
      </c>
      <c r="AB1730" t="s">
        <v>505</v>
      </c>
      <c r="AC1730" t="s">
        <v>506</v>
      </c>
      <c r="AD1730" t="s">
        <v>507</v>
      </c>
      <c r="AE1730" t="s">
        <v>508</v>
      </c>
      <c r="AF1730" t="s">
        <v>509</v>
      </c>
      <c r="AG1730" t="s">
        <v>510</v>
      </c>
      <c r="AH1730" t="s">
        <v>511</v>
      </c>
      <c r="AI1730" t="s">
        <v>512</v>
      </c>
      <c r="AJ1730" t="s">
        <v>513</v>
      </c>
      <c r="AK1730" t="s">
        <v>514</v>
      </c>
      <c r="AL1730" t="s">
        <v>515</v>
      </c>
      <c r="AM1730" t="s">
        <v>516</v>
      </c>
      <c r="AN1730" t="s">
        <v>517</v>
      </c>
      <c r="AO1730" t="s">
        <v>518</v>
      </c>
      <c r="AP1730" t="s">
        <v>519</v>
      </c>
      <c r="AQ1730" t="s">
        <v>520</v>
      </c>
      <c r="AR1730" t="s">
        <v>521</v>
      </c>
      <c r="AS1730" t="s">
        <v>522</v>
      </c>
      <c r="AT1730" t="s">
        <v>523</v>
      </c>
      <c r="AU1730" t="s">
        <v>524</v>
      </c>
      <c r="AV1730" t="s">
        <v>196</v>
      </c>
    </row>
    <row r="1731" spans="1:48" x14ac:dyDescent="0.25">
      <c r="A1731" t="s">
        <v>197</v>
      </c>
      <c r="B1731" t="s">
        <v>198</v>
      </c>
      <c r="C1731" t="s">
        <v>348</v>
      </c>
      <c r="D1731">
        <v>7207.4962934559526</v>
      </c>
      <c r="E1731">
        <v>6000</v>
      </c>
      <c r="F1731">
        <v>1500</v>
      </c>
      <c r="G1731">
        <v>20000</v>
      </c>
      <c r="H1731">
        <v>5964.7129127857252</v>
      </c>
      <c r="I1731">
        <v>6000</v>
      </c>
      <c r="J1731">
        <v>500</v>
      </c>
      <c r="K1731">
        <v>11000</v>
      </c>
      <c r="L1731">
        <v>360.75314310382748</v>
      </c>
      <c r="M1731">
        <v>300</v>
      </c>
      <c r="N1731">
        <v>50</v>
      </c>
      <c r="O1731">
        <v>1500</v>
      </c>
      <c r="P1731">
        <v>299.71057842515609</v>
      </c>
      <c r="Q1731">
        <v>300</v>
      </c>
      <c r="R1731">
        <v>100</v>
      </c>
      <c r="S1731">
        <v>1000</v>
      </c>
      <c r="T1731">
        <v>970.64606107352279</v>
      </c>
      <c r="U1731">
        <v>700</v>
      </c>
      <c r="V1731">
        <v>150</v>
      </c>
      <c r="W1731">
        <v>4000</v>
      </c>
      <c r="X1731">
        <v>530.16728693224195</v>
      </c>
      <c r="Y1731">
        <v>500</v>
      </c>
      <c r="Z1731">
        <v>100</v>
      </c>
      <c r="AA1731">
        <v>3000</v>
      </c>
      <c r="AB1731">
        <v>1642.782257552243</v>
      </c>
      <c r="AC1731">
        <v>1500</v>
      </c>
      <c r="AD1731">
        <v>300</v>
      </c>
      <c r="AE1731">
        <v>5000</v>
      </c>
      <c r="AF1731">
        <v>513.03003714016609</v>
      </c>
      <c r="AG1731">
        <v>500</v>
      </c>
      <c r="AH1731">
        <v>200</v>
      </c>
      <c r="AI1731">
        <v>1100</v>
      </c>
      <c r="AJ1731">
        <v>1817.2068053252169</v>
      </c>
      <c r="AK1731">
        <v>800</v>
      </c>
      <c r="AL1731">
        <v>100</v>
      </c>
      <c r="AM1731">
        <v>10000</v>
      </c>
      <c r="AN1731">
        <v>651.06685436496809</v>
      </c>
      <c r="AO1731">
        <v>600</v>
      </c>
      <c r="AP1731">
        <v>75</v>
      </c>
      <c r="AQ1731">
        <v>1880</v>
      </c>
      <c r="AR1731">
        <v>1974.226518445643</v>
      </c>
      <c r="AS1731">
        <v>1000</v>
      </c>
      <c r="AT1731">
        <v>300</v>
      </c>
      <c r="AU1731">
        <v>8000</v>
      </c>
      <c r="AV1731">
        <v>2214</v>
      </c>
    </row>
    <row r="1732" spans="1:48" x14ac:dyDescent="0.25">
      <c r="A1732" t="s">
        <v>197</v>
      </c>
      <c r="B1732" t="s">
        <v>198</v>
      </c>
      <c r="C1732" t="s">
        <v>349</v>
      </c>
      <c r="D1732">
        <v>5500</v>
      </c>
      <c r="E1732">
        <v>5000</v>
      </c>
      <c r="F1732">
        <v>5000</v>
      </c>
      <c r="G1732">
        <v>6000</v>
      </c>
      <c r="L1732">
        <v>400</v>
      </c>
      <c r="M1732">
        <v>200</v>
      </c>
      <c r="N1732">
        <v>200</v>
      </c>
      <c r="O1732">
        <v>600</v>
      </c>
      <c r="T1732">
        <v>750</v>
      </c>
      <c r="U1732">
        <v>500</v>
      </c>
      <c r="V1732">
        <v>500</v>
      </c>
      <c r="W1732">
        <v>1000</v>
      </c>
      <c r="X1732">
        <v>100</v>
      </c>
      <c r="Y1732">
        <v>100</v>
      </c>
      <c r="Z1732">
        <v>100</v>
      </c>
      <c r="AA1732">
        <v>100</v>
      </c>
      <c r="AB1732">
        <v>2000</v>
      </c>
      <c r="AC1732">
        <v>2000</v>
      </c>
      <c r="AD1732">
        <v>2000</v>
      </c>
      <c r="AE1732">
        <v>2000</v>
      </c>
      <c r="AF1732">
        <v>500</v>
      </c>
      <c r="AG1732">
        <v>500</v>
      </c>
      <c r="AH1732">
        <v>500</v>
      </c>
      <c r="AI1732">
        <v>500</v>
      </c>
      <c r="AJ1732">
        <v>18850</v>
      </c>
      <c r="AK1732">
        <v>200</v>
      </c>
      <c r="AL1732">
        <v>200</v>
      </c>
      <c r="AM1732">
        <v>37500</v>
      </c>
      <c r="AN1732">
        <v>880</v>
      </c>
      <c r="AO1732">
        <v>410</v>
      </c>
      <c r="AP1732">
        <v>410</v>
      </c>
      <c r="AQ1732">
        <v>1350</v>
      </c>
      <c r="AV1732">
        <v>2214</v>
      </c>
    </row>
    <row r="1733" spans="1:48" x14ac:dyDescent="0.25">
      <c r="A1733" t="s">
        <v>199</v>
      </c>
      <c r="B1733" t="s">
        <v>198</v>
      </c>
      <c r="C1733" t="s">
        <v>348</v>
      </c>
      <c r="D1733">
        <v>7070.0394087437662</v>
      </c>
      <c r="E1733">
        <v>5000</v>
      </c>
      <c r="F1733">
        <v>1000</v>
      </c>
      <c r="G1733">
        <v>16000</v>
      </c>
      <c r="H1733">
        <v>6537.3521129614792</v>
      </c>
      <c r="I1733">
        <v>4000</v>
      </c>
      <c r="J1733">
        <v>1000</v>
      </c>
      <c r="K1733">
        <v>15000</v>
      </c>
      <c r="L1733">
        <v>301.14154954601429</v>
      </c>
      <c r="M1733">
        <v>300</v>
      </c>
      <c r="N1733">
        <v>50</v>
      </c>
      <c r="O1733">
        <v>600</v>
      </c>
      <c r="P1733">
        <v>664.78797414326289</v>
      </c>
      <c r="Q1733">
        <v>500</v>
      </c>
      <c r="R1733">
        <v>100</v>
      </c>
      <c r="S1733">
        <v>5000</v>
      </c>
      <c r="T1733">
        <v>624.69546436882433</v>
      </c>
      <c r="U1733">
        <v>600</v>
      </c>
      <c r="V1733">
        <v>100</v>
      </c>
      <c r="W1733">
        <v>2000</v>
      </c>
      <c r="X1733">
        <v>512.35826522507182</v>
      </c>
      <c r="Y1733">
        <v>1000</v>
      </c>
      <c r="Z1733">
        <v>100</v>
      </c>
      <c r="AA1733">
        <v>2000</v>
      </c>
      <c r="AB1733">
        <v>1142.1956323251391</v>
      </c>
      <c r="AC1733">
        <v>1000</v>
      </c>
      <c r="AD1733">
        <v>200</v>
      </c>
      <c r="AE1733">
        <v>3000</v>
      </c>
      <c r="AF1733">
        <v>601.8125357027742</v>
      </c>
      <c r="AG1733">
        <v>800</v>
      </c>
      <c r="AH1733">
        <v>360</v>
      </c>
      <c r="AI1733">
        <v>980</v>
      </c>
      <c r="AJ1733">
        <v>1540.038301114698</v>
      </c>
      <c r="AK1733">
        <v>1500</v>
      </c>
      <c r="AL1733">
        <v>100</v>
      </c>
      <c r="AM1733">
        <v>5000</v>
      </c>
      <c r="AN1733">
        <v>525.12713052075799</v>
      </c>
      <c r="AO1733">
        <v>600</v>
      </c>
      <c r="AP1733">
        <v>100</v>
      </c>
      <c r="AQ1733">
        <v>1400</v>
      </c>
      <c r="AR1733">
        <v>910.95575922501325</v>
      </c>
      <c r="AS1733">
        <v>1000</v>
      </c>
      <c r="AT1733">
        <v>200</v>
      </c>
      <c r="AU1733">
        <v>2000</v>
      </c>
      <c r="AV1733">
        <v>2214</v>
      </c>
    </row>
    <row r="1734" spans="1:48" x14ac:dyDescent="0.25">
      <c r="A1734" t="s">
        <v>199</v>
      </c>
      <c r="B1734" t="s">
        <v>198</v>
      </c>
      <c r="C1734" t="s">
        <v>349</v>
      </c>
      <c r="D1734">
        <v>6520.0530089878439</v>
      </c>
      <c r="E1734">
        <v>6000</v>
      </c>
      <c r="F1734">
        <v>500</v>
      </c>
      <c r="G1734">
        <v>17000</v>
      </c>
      <c r="H1734">
        <v>5714.0888531693809</v>
      </c>
      <c r="I1734">
        <v>5000</v>
      </c>
      <c r="J1734">
        <v>1000</v>
      </c>
      <c r="K1734">
        <v>10000</v>
      </c>
      <c r="L1734">
        <v>387.4707014883528</v>
      </c>
      <c r="M1734">
        <v>400</v>
      </c>
      <c r="N1734">
        <v>50</v>
      </c>
      <c r="O1734">
        <v>1500</v>
      </c>
      <c r="P1734">
        <v>587.68809993869047</v>
      </c>
      <c r="Q1734">
        <v>500</v>
      </c>
      <c r="R1734">
        <v>80</v>
      </c>
      <c r="S1734">
        <v>2500</v>
      </c>
      <c r="T1734">
        <v>745.1487731635234</v>
      </c>
      <c r="U1734">
        <v>600</v>
      </c>
      <c r="V1734">
        <v>100</v>
      </c>
      <c r="W1734">
        <v>5500</v>
      </c>
      <c r="X1734">
        <v>679.17637650937604</v>
      </c>
      <c r="Y1734">
        <v>500</v>
      </c>
      <c r="Z1734">
        <v>100</v>
      </c>
      <c r="AA1734">
        <v>2000</v>
      </c>
      <c r="AB1734">
        <v>1465.943883724967</v>
      </c>
      <c r="AC1734">
        <v>1300</v>
      </c>
      <c r="AD1734">
        <v>200</v>
      </c>
      <c r="AE1734">
        <v>7000</v>
      </c>
      <c r="AF1734">
        <v>503.60831645101149</v>
      </c>
      <c r="AG1734">
        <v>500</v>
      </c>
      <c r="AH1734">
        <v>200</v>
      </c>
      <c r="AI1734">
        <v>1000</v>
      </c>
      <c r="AJ1734">
        <v>1940.7232443539119</v>
      </c>
      <c r="AK1734">
        <v>1000</v>
      </c>
      <c r="AL1734">
        <v>100</v>
      </c>
      <c r="AM1734">
        <v>16000</v>
      </c>
      <c r="AN1734">
        <v>625.2310564248279</v>
      </c>
      <c r="AO1734">
        <v>650</v>
      </c>
      <c r="AP1734">
        <v>120</v>
      </c>
      <c r="AQ1734">
        <v>2000</v>
      </c>
      <c r="AR1734">
        <v>2039.8993204054809</v>
      </c>
      <c r="AS1734">
        <v>1500</v>
      </c>
      <c r="AT1734">
        <v>225</v>
      </c>
      <c r="AU1734">
        <v>5000</v>
      </c>
      <c r="AV1734">
        <v>2214</v>
      </c>
    </row>
    <row r="1735" spans="1:48" x14ac:dyDescent="0.25">
      <c r="A1735" t="s">
        <v>199</v>
      </c>
      <c r="B1735" t="s">
        <v>198</v>
      </c>
      <c r="C1735" t="s">
        <v>350</v>
      </c>
      <c r="D1735">
        <v>5097.9317568979159</v>
      </c>
      <c r="E1735">
        <v>5000</v>
      </c>
      <c r="F1735">
        <v>900</v>
      </c>
      <c r="G1735">
        <v>25000</v>
      </c>
      <c r="H1735">
        <v>4093.431381257371</v>
      </c>
      <c r="I1735">
        <v>4000</v>
      </c>
      <c r="J1735">
        <v>300</v>
      </c>
      <c r="K1735">
        <v>15000</v>
      </c>
      <c r="L1735">
        <v>304.74525287563182</v>
      </c>
      <c r="M1735">
        <v>200</v>
      </c>
      <c r="N1735">
        <v>50</v>
      </c>
      <c r="O1735">
        <v>5000</v>
      </c>
      <c r="P1735">
        <v>679.37640433933996</v>
      </c>
      <c r="Q1735">
        <v>500</v>
      </c>
      <c r="R1735">
        <v>50</v>
      </c>
      <c r="S1735">
        <v>5000</v>
      </c>
      <c r="T1735">
        <v>735.52221852413288</v>
      </c>
      <c r="U1735">
        <v>600</v>
      </c>
      <c r="V1735">
        <v>100</v>
      </c>
      <c r="W1735">
        <v>5000</v>
      </c>
      <c r="X1735">
        <v>1031.2020853697229</v>
      </c>
      <c r="Y1735">
        <v>300</v>
      </c>
      <c r="Z1735">
        <v>100</v>
      </c>
      <c r="AA1735">
        <v>6670</v>
      </c>
      <c r="AB1735">
        <v>1485.5114517100369</v>
      </c>
      <c r="AC1735">
        <v>1200</v>
      </c>
      <c r="AD1735">
        <v>180</v>
      </c>
      <c r="AE1735">
        <v>7000</v>
      </c>
      <c r="AF1735">
        <v>998.74156678860618</v>
      </c>
      <c r="AG1735">
        <v>1000</v>
      </c>
      <c r="AH1735">
        <v>100</v>
      </c>
      <c r="AI1735">
        <v>5000</v>
      </c>
      <c r="AJ1735">
        <v>1508.1370825130491</v>
      </c>
      <c r="AK1735">
        <v>700</v>
      </c>
      <c r="AL1735">
        <v>50</v>
      </c>
      <c r="AM1735">
        <v>33000</v>
      </c>
      <c r="AN1735">
        <v>603.28725854639356</v>
      </c>
      <c r="AO1735">
        <v>500</v>
      </c>
      <c r="AP1735">
        <v>65</v>
      </c>
      <c r="AQ1735">
        <v>2950</v>
      </c>
      <c r="AR1735">
        <v>1397.708538455975</v>
      </c>
      <c r="AS1735">
        <v>1000</v>
      </c>
      <c r="AT1735">
        <v>200</v>
      </c>
      <c r="AU1735">
        <v>20000</v>
      </c>
      <c r="AV1735">
        <v>2214</v>
      </c>
    </row>
    <row r="1736" spans="1:48" x14ac:dyDescent="0.25">
      <c r="A1736" t="s">
        <v>200</v>
      </c>
      <c r="B1736" t="s">
        <v>198</v>
      </c>
      <c r="C1736" t="s">
        <v>348</v>
      </c>
      <c r="D1736">
        <v>9177.7800352435752</v>
      </c>
      <c r="E1736">
        <v>8000</v>
      </c>
      <c r="F1736">
        <v>600</v>
      </c>
      <c r="G1736">
        <v>40000</v>
      </c>
      <c r="H1736">
        <v>8012.1660723177902</v>
      </c>
      <c r="I1736">
        <v>8000</v>
      </c>
      <c r="J1736">
        <v>500</v>
      </c>
      <c r="K1736">
        <v>20000</v>
      </c>
      <c r="L1736">
        <v>480.31988260768378</v>
      </c>
      <c r="M1736">
        <v>300</v>
      </c>
      <c r="N1736">
        <v>50</v>
      </c>
      <c r="O1736">
        <v>5000</v>
      </c>
      <c r="P1736">
        <v>608.54244048347209</v>
      </c>
      <c r="Q1736">
        <v>500</v>
      </c>
      <c r="R1736">
        <v>80</v>
      </c>
      <c r="S1736">
        <v>4000</v>
      </c>
      <c r="T1736">
        <v>995.95694065955911</v>
      </c>
      <c r="U1736">
        <v>600</v>
      </c>
      <c r="V1736">
        <v>100</v>
      </c>
      <c r="W1736">
        <v>5000</v>
      </c>
      <c r="X1736">
        <v>738.22776430528711</v>
      </c>
      <c r="Y1736">
        <v>500</v>
      </c>
      <c r="Z1736">
        <v>100</v>
      </c>
      <c r="AA1736">
        <v>6300</v>
      </c>
      <c r="AB1736">
        <v>2151.6288096306462</v>
      </c>
      <c r="AC1736">
        <v>2000</v>
      </c>
      <c r="AD1736">
        <v>150</v>
      </c>
      <c r="AE1736">
        <v>6000</v>
      </c>
      <c r="AF1736">
        <v>1128.6549943214479</v>
      </c>
      <c r="AG1736">
        <v>700</v>
      </c>
      <c r="AH1736">
        <v>100</v>
      </c>
      <c r="AI1736">
        <v>8000</v>
      </c>
      <c r="AJ1736">
        <v>2579.0412486477089</v>
      </c>
      <c r="AK1736">
        <v>1000</v>
      </c>
      <c r="AL1736">
        <v>50</v>
      </c>
      <c r="AM1736">
        <v>35000</v>
      </c>
      <c r="AN1736">
        <v>729.37051243484939</v>
      </c>
      <c r="AO1736">
        <v>700</v>
      </c>
      <c r="AP1736">
        <v>70</v>
      </c>
      <c r="AQ1736">
        <v>4600</v>
      </c>
      <c r="AR1736">
        <v>1962.7377006914701</v>
      </c>
      <c r="AS1736">
        <v>1800</v>
      </c>
      <c r="AT1736">
        <v>300</v>
      </c>
      <c r="AU1736">
        <v>5000</v>
      </c>
      <c r="AV1736">
        <v>2214</v>
      </c>
    </row>
    <row r="1737" spans="1:48" x14ac:dyDescent="0.25">
      <c r="A1737" t="s">
        <v>200</v>
      </c>
      <c r="B1737" t="s">
        <v>198</v>
      </c>
      <c r="C1737" t="s">
        <v>349</v>
      </c>
      <c r="D1737">
        <v>6506.5629542738188</v>
      </c>
      <c r="E1737">
        <v>5000</v>
      </c>
      <c r="F1737">
        <v>400</v>
      </c>
      <c r="G1737">
        <v>25000</v>
      </c>
      <c r="H1737">
        <v>3714.352203746791</v>
      </c>
      <c r="I1737">
        <v>4000</v>
      </c>
      <c r="J1737">
        <v>500</v>
      </c>
      <c r="K1737">
        <v>7000</v>
      </c>
      <c r="L1737">
        <v>391.87819643296842</v>
      </c>
      <c r="M1737">
        <v>450</v>
      </c>
      <c r="N1737">
        <v>80</v>
      </c>
      <c r="O1737">
        <v>1000</v>
      </c>
      <c r="P1737">
        <v>471.46209291170561</v>
      </c>
      <c r="Q1737">
        <v>500</v>
      </c>
      <c r="R1737">
        <v>100</v>
      </c>
      <c r="S1737">
        <v>1500</v>
      </c>
      <c r="T1737">
        <v>827.29530005690458</v>
      </c>
      <c r="U1737">
        <v>500</v>
      </c>
      <c r="V1737">
        <v>100</v>
      </c>
      <c r="W1737">
        <v>3000</v>
      </c>
      <c r="X1737">
        <v>794.02883507055071</v>
      </c>
      <c r="Y1737">
        <v>1000</v>
      </c>
      <c r="Z1737">
        <v>100</v>
      </c>
      <c r="AA1737">
        <v>2000</v>
      </c>
      <c r="AB1737">
        <v>1405.993521165622</v>
      </c>
      <c r="AC1737">
        <v>1200</v>
      </c>
      <c r="AD1737">
        <v>315</v>
      </c>
      <c r="AE1737">
        <v>7000</v>
      </c>
      <c r="AF1737">
        <v>621.58142600802671</v>
      </c>
      <c r="AG1737">
        <v>500</v>
      </c>
      <c r="AH1737">
        <v>250</v>
      </c>
      <c r="AI1737">
        <v>1400</v>
      </c>
      <c r="AJ1737">
        <v>1417.542905216533</v>
      </c>
      <c r="AK1737">
        <v>600</v>
      </c>
      <c r="AL1737">
        <v>100</v>
      </c>
      <c r="AM1737">
        <v>5000</v>
      </c>
      <c r="AN1737">
        <v>647.54330388963604</v>
      </c>
      <c r="AO1737">
        <v>680</v>
      </c>
      <c r="AP1737">
        <v>175</v>
      </c>
      <c r="AQ1737">
        <v>2800</v>
      </c>
      <c r="AR1737">
        <v>3976.9640916258909</v>
      </c>
      <c r="AS1737">
        <v>6000</v>
      </c>
      <c r="AT1737">
        <v>500</v>
      </c>
      <c r="AU1737">
        <v>6000</v>
      </c>
      <c r="AV1737">
        <v>2214</v>
      </c>
    </row>
    <row r="1738" spans="1:48" x14ac:dyDescent="0.25">
      <c r="A1738" t="s">
        <v>200</v>
      </c>
      <c r="B1738" t="s">
        <v>198</v>
      </c>
      <c r="C1738" t="s">
        <v>350</v>
      </c>
      <c r="D1738">
        <v>5578.5322136552459</v>
      </c>
      <c r="E1738">
        <v>5000</v>
      </c>
      <c r="F1738">
        <v>400</v>
      </c>
      <c r="G1738">
        <v>20000</v>
      </c>
      <c r="H1738">
        <v>3154.5537972242869</v>
      </c>
      <c r="I1738">
        <v>3500</v>
      </c>
      <c r="J1738">
        <v>1000</v>
      </c>
      <c r="K1738">
        <v>6500</v>
      </c>
      <c r="L1738">
        <v>480.96738198382519</v>
      </c>
      <c r="M1738">
        <v>400</v>
      </c>
      <c r="N1738">
        <v>100</v>
      </c>
      <c r="O1738">
        <v>5000</v>
      </c>
      <c r="P1738">
        <v>443.51729256583371</v>
      </c>
      <c r="Q1738">
        <v>300</v>
      </c>
      <c r="R1738">
        <v>70</v>
      </c>
      <c r="S1738">
        <v>2000</v>
      </c>
      <c r="T1738">
        <v>856.20084368750531</v>
      </c>
      <c r="U1738">
        <v>800</v>
      </c>
      <c r="V1738">
        <v>150</v>
      </c>
      <c r="W1738">
        <v>3000</v>
      </c>
      <c r="X1738">
        <v>653.88535031613219</v>
      </c>
      <c r="Y1738">
        <v>500</v>
      </c>
      <c r="Z1738">
        <v>100</v>
      </c>
      <c r="AA1738">
        <v>2000</v>
      </c>
      <c r="AB1738">
        <v>1543.409218459685</v>
      </c>
      <c r="AC1738">
        <v>1500</v>
      </c>
      <c r="AD1738">
        <v>130</v>
      </c>
      <c r="AE1738">
        <v>3500</v>
      </c>
      <c r="AF1738">
        <v>794.28796922365109</v>
      </c>
      <c r="AG1738">
        <v>800</v>
      </c>
      <c r="AH1738">
        <v>200</v>
      </c>
      <c r="AI1738">
        <v>2500</v>
      </c>
      <c r="AJ1738">
        <v>2291.773366029835</v>
      </c>
      <c r="AK1738">
        <v>1200</v>
      </c>
      <c r="AL1738">
        <v>100</v>
      </c>
      <c r="AM1738">
        <v>15000</v>
      </c>
      <c r="AN1738">
        <v>611.77779764060267</v>
      </c>
      <c r="AO1738">
        <v>600</v>
      </c>
      <c r="AP1738">
        <v>100</v>
      </c>
      <c r="AQ1738">
        <v>1500</v>
      </c>
      <c r="AV1738">
        <v>2214</v>
      </c>
    </row>
    <row r="1739" spans="1:48" x14ac:dyDescent="0.25">
      <c r="A1739" t="s">
        <v>201</v>
      </c>
      <c r="B1739" t="s">
        <v>198</v>
      </c>
      <c r="C1739" t="s">
        <v>348</v>
      </c>
      <c r="D1739">
        <v>6854.09926111406</v>
      </c>
      <c r="E1739">
        <v>5500</v>
      </c>
      <c r="F1739">
        <v>500</v>
      </c>
      <c r="G1739">
        <v>25000</v>
      </c>
      <c r="H1739">
        <v>4620.501172026542</v>
      </c>
      <c r="I1739">
        <v>4500</v>
      </c>
      <c r="J1739">
        <v>1500</v>
      </c>
      <c r="K1739">
        <v>10000</v>
      </c>
      <c r="L1739">
        <v>537.55907312744159</v>
      </c>
      <c r="M1739">
        <v>500</v>
      </c>
      <c r="N1739">
        <v>100</v>
      </c>
      <c r="O1739">
        <v>1500</v>
      </c>
      <c r="P1739">
        <v>385.13903410407647</v>
      </c>
      <c r="Q1739">
        <v>300</v>
      </c>
      <c r="R1739">
        <v>50</v>
      </c>
      <c r="S1739">
        <v>1000</v>
      </c>
      <c r="T1739">
        <v>819.22033111188057</v>
      </c>
      <c r="U1739">
        <v>500</v>
      </c>
      <c r="V1739">
        <v>150</v>
      </c>
      <c r="W1739">
        <v>4000</v>
      </c>
      <c r="X1739">
        <v>650.20063208765987</v>
      </c>
      <c r="Y1739">
        <v>1000</v>
      </c>
      <c r="Z1739">
        <v>150</v>
      </c>
      <c r="AA1739">
        <v>1500</v>
      </c>
      <c r="AB1739">
        <v>1700.3335918071</v>
      </c>
      <c r="AC1739">
        <v>1500</v>
      </c>
      <c r="AD1739">
        <v>300</v>
      </c>
      <c r="AE1739">
        <v>15000</v>
      </c>
      <c r="AF1739">
        <v>995.79726697152262</v>
      </c>
      <c r="AG1739">
        <v>1200</v>
      </c>
      <c r="AH1739">
        <v>500</v>
      </c>
      <c r="AI1739">
        <v>2000</v>
      </c>
      <c r="AJ1739">
        <v>2018.1210554630061</v>
      </c>
      <c r="AK1739">
        <v>800</v>
      </c>
      <c r="AL1739">
        <v>100</v>
      </c>
      <c r="AM1739">
        <v>13000</v>
      </c>
      <c r="AN1739">
        <v>657.85003454435366</v>
      </c>
      <c r="AO1739">
        <v>600</v>
      </c>
      <c r="AP1739">
        <v>130</v>
      </c>
      <c r="AQ1739">
        <v>2000</v>
      </c>
      <c r="AR1739">
        <v>2681.8828035934812</v>
      </c>
      <c r="AS1739">
        <v>1500</v>
      </c>
      <c r="AT1739">
        <v>320</v>
      </c>
      <c r="AU1739">
        <v>7500</v>
      </c>
      <c r="AV1739">
        <v>2214</v>
      </c>
    </row>
    <row r="1740" spans="1:48" x14ac:dyDescent="0.25">
      <c r="A1740" t="s">
        <v>201</v>
      </c>
      <c r="B1740" t="s">
        <v>198</v>
      </c>
      <c r="C1740" t="s">
        <v>349</v>
      </c>
      <c r="D1740">
        <v>8183.8199298125046</v>
      </c>
      <c r="E1740">
        <v>6000</v>
      </c>
      <c r="F1740">
        <v>300</v>
      </c>
      <c r="G1740">
        <v>30000</v>
      </c>
      <c r="H1740">
        <v>6303.8964783172996</v>
      </c>
      <c r="I1740">
        <v>6000</v>
      </c>
      <c r="J1740">
        <v>300</v>
      </c>
      <c r="K1740">
        <v>17000</v>
      </c>
      <c r="L1740">
        <v>631.09699775021147</v>
      </c>
      <c r="M1740">
        <v>400</v>
      </c>
      <c r="N1740">
        <v>50</v>
      </c>
      <c r="O1740">
        <v>5000</v>
      </c>
      <c r="P1740">
        <v>391.69359915131281</v>
      </c>
      <c r="Q1740">
        <v>300</v>
      </c>
      <c r="R1740">
        <v>50</v>
      </c>
      <c r="S1740">
        <v>2000</v>
      </c>
      <c r="T1740">
        <v>957.94112353619198</v>
      </c>
      <c r="U1740">
        <v>700</v>
      </c>
      <c r="V1740">
        <v>100</v>
      </c>
      <c r="W1740">
        <v>5000</v>
      </c>
      <c r="X1740">
        <v>593.35407955667881</v>
      </c>
      <c r="Y1740">
        <v>350</v>
      </c>
      <c r="Z1740">
        <v>100</v>
      </c>
      <c r="AA1740">
        <v>3500</v>
      </c>
      <c r="AB1740">
        <v>2095.3149157511939</v>
      </c>
      <c r="AC1740">
        <v>1700</v>
      </c>
      <c r="AD1740">
        <v>200</v>
      </c>
      <c r="AE1740">
        <v>12500</v>
      </c>
      <c r="AF1740">
        <v>976.76680775266243</v>
      </c>
      <c r="AG1740">
        <v>1000</v>
      </c>
      <c r="AH1740">
        <v>100</v>
      </c>
      <c r="AI1740">
        <v>2000</v>
      </c>
      <c r="AJ1740">
        <v>1352.070057573138</v>
      </c>
      <c r="AK1740">
        <v>720</v>
      </c>
      <c r="AL1740">
        <v>56</v>
      </c>
      <c r="AM1740">
        <v>13000</v>
      </c>
      <c r="AN1740">
        <v>675.61902411821256</v>
      </c>
      <c r="AO1740">
        <v>600</v>
      </c>
      <c r="AP1740">
        <v>54</v>
      </c>
      <c r="AQ1740">
        <v>2100</v>
      </c>
      <c r="AR1740">
        <v>2493.0681320654521</v>
      </c>
      <c r="AS1740">
        <v>2000</v>
      </c>
      <c r="AT1740">
        <v>500</v>
      </c>
      <c r="AU1740">
        <v>7000</v>
      </c>
      <c r="AV1740">
        <v>2214</v>
      </c>
    </row>
    <row r="1741" spans="1:48" x14ac:dyDescent="0.25">
      <c r="A1741" t="s">
        <v>201</v>
      </c>
      <c r="B1741" t="s">
        <v>198</v>
      </c>
      <c r="C1741" t="s">
        <v>350</v>
      </c>
      <c r="D1741">
        <v>4665.0618804145079</v>
      </c>
      <c r="E1741">
        <v>4000</v>
      </c>
      <c r="F1741">
        <v>700</v>
      </c>
      <c r="G1741">
        <v>20000</v>
      </c>
      <c r="H1741">
        <v>3601.1564419419669</v>
      </c>
      <c r="I1741">
        <v>3500</v>
      </c>
      <c r="J1741">
        <v>1500</v>
      </c>
      <c r="K1741">
        <v>12000</v>
      </c>
      <c r="L1741">
        <v>455.10946754793002</v>
      </c>
      <c r="M1741">
        <v>350</v>
      </c>
      <c r="N1741">
        <v>100</v>
      </c>
      <c r="O1741">
        <v>2000</v>
      </c>
      <c r="P1741">
        <v>399.19372642335122</v>
      </c>
      <c r="Q1741">
        <v>200</v>
      </c>
      <c r="R1741">
        <v>50</v>
      </c>
      <c r="S1741">
        <v>2000</v>
      </c>
      <c r="T1741">
        <v>692.74752745260594</v>
      </c>
      <c r="U1741">
        <v>450</v>
      </c>
      <c r="V1741">
        <v>100</v>
      </c>
      <c r="W1741">
        <v>3000</v>
      </c>
      <c r="X1741">
        <v>1434.923760450585</v>
      </c>
      <c r="Y1741">
        <v>800</v>
      </c>
      <c r="Z1741">
        <v>100</v>
      </c>
      <c r="AA1741">
        <v>15000</v>
      </c>
      <c r="AB1741">
        <v>1951.338473275189</v>
      </c>
      <c r="AC1741">
        <v>1500</v>
      </c>
      <c r="AD1741">
        <v>200</v>
      </c>
      <c r="AE1741">
        <v>10000</v>
      </c>
      <c r="AF1741">
        <v>964.51190057475844</v>
      </c>
      <c r="AG1741">
        <v>1000</v>
      </c>
      <c r="AH1741">
        <v>200</v>
      </c>
      <c r="AI1741">
        <v>1600</v>
      </c>
      <c r="AJ1741">
        <v>1248.2680335434191</v>
      </c>
      <c r="AK1741">
        <v>800</v>
      </c>
      <c r="AL1741">
        <v>100</v>
      </c>
      <c r="AM1741">
        <v>5170</v>
      </c>
      <c r="AN1741">
        <v>637.63253455256097</v>
      </c>
      <c r="AO1741">
        <v>600</v>
      </c>
      <c r="AP1741">
        <v>150</v>
      </c>
      <c r="AQ1741">
        <v>2000</v>
      </c>
      <c r="AR1741">
        <v>4605.3847923740032</v>
      </c>
      <c r="AS1741">
        <v>7000</v>
      </c>
      <c r="AT1741">
        <v>780</v>
      </c>
      <c r="AU1741">
        <v>7000</v>
      </c>
      <c r="AV1741">
        <v>2214</v>
      </c>
    </row>
    <row r="1742" spans="1:48" x14ac:dyDescent="0.25">
      <c r="A1742" t="s">
        <v>202</v>
      </c>
      <c r="B1742" t="s">
        <v>198</v>
      </c>
      <c r="C1742" t="s">
        <v>348</v>
      </c>
      <c r="D1742">
        <v>7618.0774345610289</v>
      </c>
      <c r="E1742">
        <v>6000</v>
      </c>
      <c r="F1742">
        <v>500</v>
      </c>
      <c r="G1742">
        <v>25000</v>
      </c>
      <c r="H1742">
        <v>6992.9357163541572</v>
      </c>
      <c r="I1742">
        <v>6500</v>
      </c>
      <c r="J1742">
        <v>450</v>
      </c>
      <c r="K1742">
        <v>16000</v>
      </c>
      <c r="L1742">
        <v>491.82516908900038</v>
      </c>
      <c r="M1742">
        <v>500</v>
      </c>
      <c r="N1742">
        <v>50</v>
      </c>
      <c r="O1742">
        <v>1500</v>
      </c>
      <c r="P1742">
        <v>571.11574510470984</v>
      </c>
      <c r="Q1742">
        <v>400</v>
      </c>
      <c r="R1742">
        <v>50</v>
      </c>
      <c r="S1742">
        <v>10000</v>
      </c>
      <c r="T1742">
        <v>825.94696024932261</v>
      </c>
      <c r="U1742">
        <v>700</v>
      </c>
      <c r="V1742">
        <v>100</v>
      </c>
      <c r="W1742">
        <v>3000</v>
      </c>
      <c r="X1742">
        <v>625.95841786899416</v>
      </c>
      <c r="Y1742">
        <v>500</v>
      </c>
      <c r="Z1742">
        <v>200</v>
      </c>
      <c r="AA1742">
        <v>2500</v>
      </c>
      <c r="AB1742">
        <v>1830.0872002768369</v>
      </c>
      <c r="AC1742">
        <v>1300</v>
      </c>
      <c r="AD1742">
        <v>300</v>
      </c>
      <c r="AE1742">
        <v>30000</v>
      </c>
      <c r="AF1742">
        <v>1163.476139388323</v>
      </c>
      <c r="AG1742">
        <v>700</v>
      </c>
      <c r="AH1742">
        <v>100</v>
      </c>
      <c r="AI1742">
        <v>4000</v>
      </c>
      <c r="AJ1742">
        <v>1731.968125376945</v>
      </c>
      <c r="AK1742">
        <v>700</v>
      </c>
      <c r="AL1742">
        <v>100</v>
      </c>
      <c r="AM1742">
        <v>15000</v>
      </c>
      <c r="AN1742">
        <v>553.80545949120904</v>
      </c>
      <c r="AO1742">
        <v>500</v>
      </c>
      <c r="AP1742">
        <v>50</v>
      </c>
      <c r="AQ1742">
        <v>1500</v>
      </c>
      <c r="AR1742">
        <v>1947.418937195928</v>
      </c>
      <c r="AS1742">
        <v>1800</v>
      </c>
      <c r="AT1742">
        <v>1300</v>
      </c>
      <c r="AU1742">
        <v>3500</v>
      </c>
      <c r="AV1742">
        <v>2214</v>
      </c>
    </row>
    <row r="1743" spans="1:48" x14ac:dyDescent="0.25">
      <c r="A1743" t="s">
        <v>199</v>
      </c>
      <c r="B1743" t="s">
        <v>203</v>
      </c>
      <c r="C1743" t="s">
        <v>348</v>
      </c>
      <c r="D1743">
        <v>7327.6149130679241</v>
      </c>
      <c r="E1743">
        <v>7000</v>
      </c>
      <c r="F1743">
        <v>1500</v>
      </c>
      <c r="G1743">
        <v>20000</v>
      </c>
      <c r="H1743">
        <v>5975.3057702476281</v>
      </c>
      <c r="I1743">
        <v>7500</v>
      </c>
      <c r="J1743">
        <v>3000</v>
      </c>
      <c r="K1743">
        <v>7800</v>
      </c>
      <c r="L1743">
        <v>407.38972994900871</v>
      </c>
      <c r="M1743">
        <v>300</v>
      </c>
      <c r="N1743">
        <v>60</v>
      </c>
      <c r="O1743">
        <v>2000</v>
      </c>
      <c r="P1743">
        <v>450.21281813269923</v>
      </c>
      <c r="Q1743">
        <v>400</v>
      </c>
      <c r="R1743">
        <v>100</v>
      </c>
      <c r="S1743">
        <v>2000</v>
      </c>
      <c r="T1743">
        <v>1013.02875272861</v>
      </c>
      <c r="U1743">
        <v>800</v>
      </c>
      <c r="V1743">
        <v>300</v>
      </c>
      <c r="W1743">
        <v>4500</v>
      </c>
      <c r="X1743">
        <v>291.40476803060312</v>
      </c>
      <c r="Y1743">
        <v>300</v>
      </c>
      <c r="Z1743">
        <v>100</v>
      </c>
      <c r="AA1743">
        <v>1000</v>
      </c>
      <c r="AB1743">
        <v>1606.36444102224</v>
      </c>
      <c r="AC1743">
        <v>1700</v>
      </c>
      <c r="AD1743">
        <v>200</v>
      </c>
      <c r="AE1743">
        <v>5000</v>
      </c>
      <c r="AF1743">
        <v>500.00000000000011</v>
      </c>
      <c r="AG1743">
        <v>500</v>
      </c>
      <c r="AH1743">
        <v>500</v>
      </c>
      <c r="AI1743">
        <v>500</v>
      </c>
      <c r="AJ1743">
        <v>1588.833413376909</v>
      </c>
      <c r="AK1743">
        <v>800</v>
      </c>
      <c r="AL1743">
        <v>50</v>
      </c>
      <c r="AM1743">
        <v>4270</v>
      </c>
      <c r="AN1743">
        <v>651.75239346533419</v>
      </c>
      <c r="AO1743">
        <v>610</v>
      </c>
      <c r="AP1743">
        <v>145</v>
      </c>
      <c r="AQ1743">
        <v>1100</v>
      </c>
      <c r="AR1743">
        <v>1060.9446776048339</v>
      </c>
      <c r="AS1743">
        <v>600</v>
      </c>
      <c r="AT1743">
        <v>140</v>
      </c>
      <c r="AU1743">
        <v>8000</v>
      </c>
      <c r="AV1743">
        <v>2214</v>
      </c>
    </row>
    <row r="1744" spans="1:48" x14ac:dyDescent="0.25">
      <c r="A1744" t="s">
        <v>199</v>
      </c>
      <c r="B1744" t="s">
        <v>203</v>
      </c>
      <c r="C1744" t="s">
        <v>349</v>
      </c>
      <c r="D1744">
        <v>8285.8385266933328</v>
      </c>
      <c r="E1744">
        <v>9000</v>
      </c>
      <c r="F1744">
        <v>500</v>
      </c>
      <c r="G1744">
        <v>25000</v>
      </c>
      <c r="H1744">
        <v>6511.9254360668538</v>
      </c>
      <c r="I1744">
        <v>4000</v>
      </c>
      <c r="J1744">
        <v>1000</v>
      </c>
      <c r="K1744">
        <v>14000</v>
      </c>
      <c r="L1744">
        <v>399.88450719782401</v>
      </c>
      <c r="M1744">
        <v>400</v>
      </c>
      <c r="N1744">
        <v>75</v>
      </c>
      <c r="O1744">
        <v>2200</v>
      </c>
      <c r="P1744">
        <v>733.79666210603443</v>
      </c>
      <c r="Q1744">
        <v>600</v>
      </c>
      <c r="R1744">
        <v>100</v>
      </c>
      <c r="S1744">
        <v>5000</v>
      </c>
      <c r="T1744">
        <v>964.91357309798821</v>
      </c>
      <c r="U1744">
        <v>865</v>
      </c>
      <c r="V1744">
        <v>100</v>
      </c>
      <c r="W1744">
        <v>5000</v>
      </c>
      <c r="X1744">
        <v>955.66954324008702</v>
      </c>
      <c r="Y1744">
        <v>300</v>
      </c>
      <c r="Z1744">
        <v>100</v>
      </c>
      <c r="AA1744">
        <v>6000</v>
      </c>
      <c r="AB1744">
        <v>1729.6786646562209</v>
      </c>
      <c r="AC1744">
        <v>1400</v>
      </c>
      <c r="AD1744">
        <v>230</v>
      </c>
      <c r="AE1744">
        <v>8000</v>
      </c>
      <c r="AF1744">
        <v>1153.778480101915</v>
      </c>
      <c r="AG1744">
        <v>400</v>
      </c>
      <c r="AH1744">
        <v>200</v>
      </c>
      <c r="AI1744">
        <v>18000</v>
      </c>
      <c r="AJ1744">
        <v>2648.5261287829858</v>
      </c>
      <c r="AK1744">
        <v>3000</v>
      </c>
      <c r="AL1744">
        <v>60</v>
      </c>
      <c r="AM1744">
        <v>20000</v>
      </c>
      <c r="AN1744">
        <v>797.78405683102062</v>
      </c>
      <c r="AO1744">
        <v>830</v>
      </c>
      <c r="AP1744">
        <v>100</v>
      </c>
      <c r="AQ1744">
        <v>2500</v>
      </c>
      <c r="AR1744">
        <v>2768.48717619333</v>
      </c>
      <c r="AS1744">
        <v>2500</v>
      </c>
      <c r="AT1744">
        <v>200</v>
      </c>
      <c r="AU1744">
        <v>20000</v>
      </c>
      <c r="AV1744">
        <v>2214</v>
      </c>
    </row>
    <row r="1745" spans="1:48" x14ac:dyDescent="0.25">
      <c r="A1745" t="s">
        <v>199</v>
      </c>
      <c r="B1745" t="s">
        <v>203</v>
      </c>
      <c r="C1745" t="s">
        <v>350</v>
      </c>
      <c r="D1745">
        <v>7746.0880504806819</v>
      </c>
      <c r="E1745">
        <v>7000</v>
      </c>
      <c r="F1745">
        <v>500</v>
      </c>
      <c r="G1745">
        <v>30000</v>
      </c>
      <c r="H1745">
        <v>5395.9952931788257</v>
      </c>
      <c r="I1745">
        <v>5000</v>
      </c>
      <c r="J1745">
        <v>1200</v>
      </c>
      <c r="K1745">
        <v>12000</v>
      </c>
      <c r="L1745">
        <v>430.00228586786392</v>
      </c>
      <c r="M1745">
        <v>380</v>
      </c>
      <c r="N1745">
        <v>60</v>
      </c>
      <c r="O1745">
        <v>5000</v>
      </c>
      <c r="P1745">
        <v>537.53157962063415</v>
      </c>
      <c r="Q1745">
        <v>300</v>
      </c>
      <c r="R1745">
        <v>50</v>
      </c>
      <c r="S1745">
        <v>10000</v>
      </c>
      <c r="T1745">
        <v>1010.387246363194</v>
      </c>
      <c r="U1745">
        <v>800</v>
      </c>
      <c r="V1745">
        <v>100</v>
      </c>
      <c r="W1745">
        <v>5000</v>
      </c>
      <c r="X1745">
        <v>489.39867105242189</v>
      </c>
      <c r="Y1745">
        <v>400</v>
      </c>
      <c r="Z1745">
        <v>100</v>
      </c>
      <c r="AA1745">
        <v>3000</v>
      </c>
      <c r="AB1745">
        <v>1683.820052494252</v>
      </c>
      <c r="AC1745">
        <v>1500</v>
      </c>
      <c r="AD1745">
        <v>300</v>
      </c>
      <c r="AE1745">
        <v>6000</v>
      </c>
      <c r="AF1745">
        <v>1010.255047636428</v>
      </c>
      <c r="AG1745">
        <v>600</v>
      </c>
      <c r="AH1745">
        <v>100</v>
      </c>
      <c r="AI1745">
        <v>4000</v>
      </c>
      <c r="AJ1745">
        <v>3215.3019496189072</v>
      </c>
      <c r="AK1745">
        <v>2000</v>
      </c>
      <c r="AL1745">
        <v>60</v>
      </c>
      <c r="AM1745">
        <v>15000</v>
      </c>
      <c r="AN1745">
        <v>696.84445709540432</v>
      </c>
      <c r="AO1745">
        <v>700</v>
      </c>
      <c r="AP1745">
        <v>100</v>
      </c>
      <c r="AQ1745">
        <v>6500</v>
      </c>
      <c r="AR1745">
        <v>2236.8210980556069</v>
      </c>
      <c r="AS1745">
        <v>1500</v>
      </c>
      <c r="AT1745">
        <v>100</v>
      </c>
      <c r="AU1745">
        <v>10000</v>
      </c>
      <c r="AV1745">
        <v>2214</v>
      </c>
    </row>
    <row r="1746" spans="1:48" x14ac:dyDescent="0.25">
      <c r="A1746" t="s">
        <v>200</v>
      </c>
      <c r="B1746" t="s">
        <v>203</v>
      </c>
      <c r="C1746" t="s">
        <v>348</v>
      </c>
      <c r="D1746">
        <v>10143.13835595789</v>
      </c>
      <c r="E1746">
        <v>10000</v>
      </c>
      <c r="F1746">
        <v>200</v>
      </c>
      <c r="G1746">
        <v>40000</v>
      </c>
      <c r="H1746">
        <v>7345.8887571824107</v>
      </c>
      <c r="I1746">
        <v>7000</v>
      </c>
      <c r="J1746">
        <v>830</v>
      </c>
      <c r="K1746">
        <v>20000</v>
      </c>
      <c r="L1746">
        <v>715.78125311132317</v>
      </c>
      <c r="M1746">
        <v>520</v>
      </c>
      <c r="N1746">
        <v>70</v>
      </c>
      <c r="O1746">
        <v>5000</v>
      </c>
      <c r="P1746">
        <v>713.04185398704362</v>
      </c>
      <c r="Q1746">
        <v>400</v>
      </c>
      <c r="R1746">
        <v>100</v>
      </c>
      <c r="S1746">
        <v>10000</v>
      </c>
      <c r="T1746">
        <v>1013.012376901931</v>
      </c>
      <c r="U1746">
        <v>750</v>
      </c>
      <c r="V1746">
        <v>100</v>
      </c>
      <c r="W1746">
        <v>5000</v>
      </c>
      <c r="X1746">
        <v>1479.2081177743671</v>
      </c>
      <c r="Y1746">
        <v>800</v>
      </c>
      <c r="Z1746">
        <v>100</v>
      </c>
      <c r="AA1746">
        <v>13800</v>
      </c>
      <c r="AB1746">
        <v>2296.056163870212</v>
      </c>
      <c r="AC1746">
        <v>1800</v>
      </c>
      <c r="AD1746">
        <v>100</v>
      </c>
      <c r="AE1746">
        <v>12000</v>
      </c>
      <c r="AF1746">
        <v>1123.7697060075329</v>
      </c>
      <c r="AG1746">
        <v>800</v>
      </c>
      <c r="AH1746">
        <v>100</v>
      </c>
      <c r="AI1746">
        <v>11000</v>
      </c>
      <c r="AJ1746">
        <v>3432.9554579260871</v>
      </c>
      <c r="AK1746">
        <v>3000</v>
      </c>
      <c r="AL1746">
        <v>50</v>
      </c>
      <c r="AM1746">
        <v>45000</v>
      </c>
      <c r="AN1746">
        <v>755.07325631115589</v>
      </c>
      <c r="AO1746">
        <v>700</v>
      </c>
      <c r="AP1746">
        <v>90</v>
      </c>
      <c r="AQ1746">
        <v>6000</v>
      </c>
      <c r="AR1746">
        <v>3903.1086222856061</v>
      </c>
      <c r="AS1746">
        <v>2000</v>
      </c>
      <c r="AT1746">
        <v>150</v>
      </c>
      <c r="AU1746">
        <v>24000</v>
      </c>
      <c r="AV1746">
        <v>2214</v>
      </c>
    </row>
    <row r="1747" spans="1:48" x14ac:dyDescent="0.25">
      <c r="A1747" t="s">
        <v>200</v>
      </c>
      <c r="B1747" t="s">
        <v>203</v>
      </c>
      <c r="C1747" t="s">
        <v>349</v>
      </c>
      <c r="D1747">
        <v>7264.2146200607904</v>
      </c>
      <c r="E1747">
        <v>6000</v>
      </c>
      <c r="F1747">
        <v>1000</v>
      </c>
      <c r="G1747">
        <v>30000</v>
      </c>
      <c r="H1747">
        <v>4403.571028282011</v>
      </c>
      <c r="I1747">
        <v>4500</v>
      </c>
      <c r="J1747">
        <v>1500</v>
      </c>
      <c r="K1747">
        <v>10000</v>
      </c>
      <c r="L1747">
        <v>663.8893423065939</v>
      </c>
      <c r="M1747">
        <v>500</v>
      </c>
      <c r="N1747">
        <v>100</v>
      </c>
      <c r="O1747">
        <v>3000</v>
      </c>
      <c r="P1747">
        <v>408.30068134545911</v>
      </c>
      <c r="Q1747">
        <v>300</v>
      </c>
      <c r="R1747">
        <v>50</v>
      </c>
      <c r="S1747">
        <v>2000</v>
      </c>
      <c r="T1747">
        <v>1016.544898785887</v>
      </c>
      <c r="U1747">
        <v>700</v>
      </c>
      <c r="V1747">
        <v>110</v>
      </c>
      <c r="W1747">
        <v>4000</v>
      </c>
      <c r="X1747">
        <v>247.2702663870343</v>
      </c>
      <c r="Y1747">
        <v>200</v>
      </c>
      <c r="Z1747">
        <v>100</v>
      </c>
      <c r="AA1747">
        <v>700</v>
      </c>
      <c r="AB1747">
        <v>1564.115354395582</v>
      </c>
      <c r="AC1747">
        <v>1500</v>
      </c>
      <c r="AD1747">
        <v>400</v>
      </c>
      <c r="AE1747">
        <v>7000</v>
      </c>
      <c r="AF1747">
        <v>583.90937850783291</v>
      </c>
      <c r="AG1747">
        <v>500</v>
      </c>
      <c r="AH1747">
        <v>100</v>
      </c>
      <c r="AI1747">
        <v>5000</v>
      </c>
      <c r="AJ1747">
        <v>2375.831560603699</v>
      </c>
      <c r="AK1747">
        <v>1000</v>
      </c>
      <c r="AL1747">
        <v>100</v>
      </c>
      <c r="AM1747">
        <v>13000</v>
      </c>
      <c r="AN1747">
        <v>705.86100895451261</v>
      </c>
      <c r="AO1747">
        <v>700</v>
      </c>
      <c r="AP1747">
        <v>100</v>
      </c>
      <c r="AQ1747">
        <v>5000</v>
      </c>
      <c r="AR1747">
        <v>2063.6451598105441</v>
      </c>
      <c r="AS1747">
        <v>2200</v>
      </c>
      <c r="AT1747">
        <v>150</v>
      </c>
      <c r="AU1747">
        <v>5000</v>
      </c>
      <c r="AV1747">
        <v>2214</v>
      </c>
    </row>
    <row r="1748" spans="1:48" x14ac:dyDescent="0.25">
      <c r="A1748" t="s">
        <v>200</v>
      </c>
      <c r="B1748" t="s">
        <v>203</v>
      </c>
      <c r="C1748" t="s">
        <v>350</v>
      </c>
      <c r="D1748">
        <v>7962.420056152775</v>
      </c>
      <c r="E1748">
        <v>6000</v>
      </c>
      <c r="F1748">
        <v>400</v>
      </c>
      <c r="G1748">
        <v>20000</v>
      </c>
      <c r="H1748">
        <v>5737.5327296263922</v>
      </c>
      <c r="I1748">
        <v>6000</v>
      </c>
      <c r="J1748">
        <v>300</v>
      </c>
      <c r="K1748">
        <v>15000</v>
      </c>
      <c r="L1748">
        <v>375.80841570423291</v>
      </c>
      <c r="M1748">
        <v>300</v>
      </c>
      <c r="N1748">
        <v>100</v>
      </c>
      <c r="O1748">
        <v>1500</v>
      </c>
      <c r="P1748">
        <v>485.91134777407962</v>
      </c>
      <c r="Q1748">
        <v>300</v>
      </c>
      <c r="R1748">
        <v>100</v>
      </c>
      <c r="S1748">
        <v>2000</v>
      </c>
      <c r="T1748">
        <v>949.2948373522463</v>
      </c>
      <c r="U1748">
        <v>800</v>
      </c>
      <c r="V1748">
        <v>200</v>
      </c>
      <c r="W1748">
        <v>3000</v>
      </c>
      <c r="X1748">
        <v>568.95224695696504</v>
      </c>
      <c r="Y1748">
        <v>500</v>
      </c>
      <c r="Z1748">
        <v>100</v>
      </c>
      <c r="AA1748">
        <v>5000</v>
      </c>
      <c r="AB1748">
        <v>2134.8820684998718</v>
      </c>
      <c r="AC1748">
        <v>2000</v>
      </c>
      <c r="AD1748">
        <v>200</v>
      </c>
      <c r="AE1748">
        <v>7000</v>
      </c>
      <c r="AF1748">
        <v>590.22951886427381</v>
      </c>
      <c r="AG1748">
        <v>320</v>
      </c>
      <c r="AH1748">
        <v>100</v>
      </c>
      <c r="AI1748">
        <v>2000</v>
      </c>
      <c r="AJ1748">
        <v>2483.41305190597</v>
      </c>
      <c r="AK1748">
        <v>2000</v>
      </c>
      <c r="AL1748">
        <v>100</v>
      </c>
      <c r="AM1748">
        <v>100000</v>
      </c>
      <c r="AN1748">
        <v>728.98877430054517</v>
      </c>
      <c r="AO1748">
        <v>600</v>
      </c>
      <c r="AP1748">
        <v>150</v>
      </c>
      <c r="AQ1748">
        <v>7000</v>
      </c>
      <c r="AR1748">
        <v>888.15925620318592</v>
      </c>
      <c r="AS1748">
        <v>1000</v>
      </c>
      <c r="AT1748">
        <v>500</v>
      </c>
      <c r="AU1748">
        <v>4300</v>
      </c>
      <c r="AV1748">
        <v>2214</v>
      </c>
    </row>
    <row r="1749" spans="1:48" x14ac:dyDescent="0.25">
      <c r="A1749" t="s">
        <v>201</v>
      </c>
      <c r="B1749" t="s">
        <v>203</v>
      </c>
      <c r="C1749" t="s">
        <v>348</v>
      </c>
      <c r="D1749">
        <v>5613.0674217025953</v>
      </c>
      <c r="E1749">
        <v>5000</v>
      </c>
      <c r="F1749">
        <v>600</v>
      </c>
      <c r="G1749">
        <v>15000</v>
      </c>
      <c r="H1749">
        <v>2979.0791515426072</v>
      </c>
      <c r="I1749">
        <v>500</v>
      </c>
      <c r="J1749">
        <v>500</v>
      </c>
      <c r="K1749">
        <v>9000</v>
      </c>
      <c r="L1749">
        <v>462.03943713274981</v>
      </c>
      <c r="M1749">
        <v>320</v>
      </c>
      <c r="N1749">
        <v>100</v>
      </c>
      <c r="O1749">
        <v>1000</v>
      </c>
      <c r="P1749">
        <v>332.60936633296632</v>
      </c>
      <c r="Q1749">
        <v>200</v>
      </c>
      <c r="R1749">
        <v>50</v>
      </c>
      <c r="S1749">
        <v>1500</v>
      </c>
      <c r="T1749">
        <v>744.8220730729679</v>
      </c>
      <c r="U1749">
        <v>700</v>
      </c>
      <c r="V1749">
        <v>150</v>
      </c>
      <c r="W1749">
        <v>5000</v>
      </c>
      <c r="X1749">
        <v>799.89640855943219</v>
      </c>
      <c r="Y1749">
        <v>500</v>
      </c>
      <c r="Z1749">
        <v>100</v>
      </c>
      <c r="AA1749">
        <v>2000</v>
      </c>
      <c r="AB1749">
        <v>1340.9937432460581</v>
      </c>
      <c r="AC1749">
        <v>1200</v>
      </c>
      <c r="AD1749">
        <v>300</v>
      </c>
      <c r="AE1749">
        <v>4000</v>
      </c>
      <c r="AF1749">
        <v>846.15589858892872</v>
      </c>
      <c r="AG1749">
        <v>1000</v>
      </c>
      <c r="AH1749">
        <v>200</v>
      </c>
      <c r="AI1749">
        <v>1200</v>
      </c>
      <c r="AJ1749">
        <v>2438.5837463548942</v>
      </c>
      <c r="AK1749">
        <v>2000</v>
      </c>
      <c r="AL1749">
        <v>100</v>
      </c>
      <c r="AM1749">
        <v>15000</v>
      </c>
      <c r="AN1749">
        <v>635.18081475158601</v>
      </c>
      <c r="AO1749">
        <v>600</v>
      </c>
      <c r="AP1749">
        <v>100</v>
      </c>
      <c r="AQ1749">
        <v>2000</v>
      </c>
      <c r="AR1749">
        <v>2018.580139707188</v>
      </c>
      <c r="AS1749">
        <v>2300</v>
      </c>
      <c r="AT1749">
        <v>300</v>
      </c>
      <c r="AU1749">
        <v>3900</v>
      </c>
      <c r="AV1749">
        <v>2214</v>
      </c>
    </row>
    <row r="1750" spans="1:48" x14ac:dyDescent="0.25">
      <c r="A1750" t="s">
        <v>201</v>
      </c>
      <c r="B1750" t="s">
        <v>203</v>
      </c>
      <c r="C1750" t="s">
        <v>349</v>
      </c>
      <c r="D1750">
        <v>9571.1878790791761</v>
      </c>
      <c r="E1750">
        <v>8000</v>
      </c>
      <c r="F1750">
        <v>300</v>
      </c>
      <c r="G1750">
        <v>45000</v>
      </c>
      <c r="H1750">
        <v>5399.9304299899213</v>
      </c>
      <c r="I1750">
        <v>6000</v>
      </c>
      <c r="J1750">
        <v>2000</v>
      </c>
      <c r="K1750">
        <v>7000</v>
      </c>
      <c r="L1750">
        <v>415.98400544410117</v>
      </c>
      <c r="M1750">
        <v>300</v>
      </c>
      <c r="N1750">
        <v>60</v>
      </c>
      <c r="O1750">
        <v>3000</v>
      </c>
      <c r="P1750">
        <v>471.53298062709428</v>
      </c>
      <c r="Q1750">
        <v>300</v>
      </c>
      <c r="R1750">
        <v>50</v>
      </c>
      <c r="S1750">
        <v>3000</v>
      </c>
      <c r="T1750">
        <v>1026.4548802321101</v>
      </c>
      <c r="U1750">
        <v>700</v>
      </c>
      <c r="V1750">
        <v>100</v>
      </c>
      <c r="W1750">
        <v>3500</v>
      </c>
      <c r="X1750">
        <v>343.67352904612119</v>
      </c>
      <c r="Y1750">
        <v>300</v>
      </c>
      <c r="Z1750">
        <v>100</v>
      </c>
      <c r="AA1750">
        <v>3000</v>
      </c>
      <c r="AB1750">
        <v>1835.4997305555089</v>
      </c>
      <c r="AC1750">
        <v>1500</v>
      </c>
      <c r="AD1750">
        <v>200</v>
      </c>
      <c r="AE1750">
        <v>7000</v>
      </c>
      <c r="AF1750">
        <v>1717.490806064038</v>
      </c>
      <c r="AG1750">
        <v>1000</v>
      </c>
      <c r="AH1750">
        <v>180</v>
      </c>
      <c r="AI1750">
        <v>13000</v>
      </c>
      <c r="AJ1750">
        <v>2445.122851253715</v>
      </c>
      <c r="AK1750">
        <v>2000</v>
      </c>
      <c r="AL1750">
        <v>50</v>
      </c>
      <c r="AM1750">
        <v>11500</v>
      </c>
      <c r="AN1750">
        <v>651.27003703184664</v>
      </c>
      <c r="AO1750">
        <v>700</v>
      </c>
      <c r="AP1750">
        <v>100</v>
      </c>
      <c r="AQ1750">
        <v>2100</v>
      </c>
      <c r="AR1750">
        <v>2443.9067031058139</v>
      </c>
      <c r="AS1750">
        <v>2500</v>
      </c>
      <c r="AT1750">
        <v>150</v>
      </c>
      <c r="AU1750">
        <v>5000</v>
      </c>
      <c r="AV1750">
        <v>2214</v>
      </c>
    </row>
    <row r="1751" spans="1:48" x14ac:dyDescent="0.25">
      <c r="A1751" t="s">
        <v>201</v>
      </c>
      <c r="B1751" t="s">
        <v>203</v>
      </c>
      <c r="C1751" t="s">
        <v>350</v>
      </c>
      <c r="D1751">
        <v>6040.3811457462698</v>
      </c>
      <c r="E1751">
        <v>5000</v>
      </c>
      <c r="F1751">
        <v>500</v>
      </c>
      <c r="G1751">
        <v>20000</v>
      </c>
      <c r="H1751">
        <v>5855.3355424476922</v>
      </c>
      <c r="I1751">
        <v>6000</v>
      </c>
      <c r="J1751">
        <v>670</v>
      </c>
      <c r="K1751">
        <v>8300</v>
      </c>
      <c r="L1751">
        <v>450.45973650300368</v>
      </c>
      <c r="M1751">
        <v>500</v>
      </c>
      <c r="N1751">
        <v>84</v>
      </c>
      <c r="O1751">
        <v>3000</v>
      </c>
      <c r="P1751">
        <v>545.49347198991086</v>
      </c>
      <c r="Q1751">
        <v>400</v>
      </c>
      <c r="R1751">
        <v>70</v>
      </c>
      <c r="S1751">
        <v>2000</v>
      </c>
      <c r="T1751">
        <v>1761.488423168704</v>
      </c>
      <c r="U1751">
        <v>600</v>
      </c>
      <c r="V1751">
        <v>150</v>
      </c>
      <c r="W1751">
        <v>25000</v>
      </c>
      <c r="X1751">
        <v>767.89906697380127</v>
      </c>
      <c r="Y1751">
        <v>500</v>
      </c>
      <c r="Z1751">
        <v>100</v>
      </c>
      <c r="AA1751">
        <v>10000</v>
      </c>
      <c r="AB1751">
        <v>2304.9843865830462</v>
      </c>
      <c r="AC1751">
        <v>2000</v>
      </c>
      <c r="AD1751">
        <v>470</v>
      </c>
      <c r="AE1751">
        <v>8000</v>
      </c>
      <c r="AF1751">
        <v>928.80950127802646</v>
      </c>
      <c r="AG1751">
        <v>1000</v>
      </c>
      <c r="AH1751">
        <v>150</v>
      </c>
      <c r="AI1751">
        <v>8000</v>
      </c>
      <c r="AJ1751">
        <v>1851.1750962732469</v>
      </c>
      <c r="AK1751">
        <v>1500</v>
      </c>
      <c r="AL1751">
        <v>50</v>
      </c>
      <c r="AM1751">
        <v>8000</v>
      </c>
      <c r="AN1751">
        <v>665.81311938098349</v>
      </c>
      <c r="AO1751">
        <v>600</v>
      </c>
      <c r="AP1751">
        <v>100</v>
      </c>
      <c r="AQ1751">
        <v>7000</v>
      </c>
      <c r="AR1751">
        <v>4650.527693199665</v>
      </c>
      <c r="AS1751">
        <v>2000</v>
      </c>
      <c r="AT1751">
        <v>200</v>
      </c>
      <c r="AU1751">
        <v>20000</v>
      </c>
      <c r="AV1751">
        <v>2214</v>
      </c>
    </row>
    <row r="1752" spans="1:48" x14ac:dyDescent="0.25">
      <c r="A1752" t="s">
        <v>202</v>
      </c>
      <c r="B1752" t="s">
        <v>203</v>
      </c>
      <c r="C1752" t="s">
        <v>348</v>
      </c>
      <c r="D1752">
        <v>8839.1570331622606</v>
      </c>
      <c r="E1752">
        <v>8000</v>
      </c>
      <c r="F1752">
        <v>1500</v>
      </c>
      <c r="G1752">
        <v>30000</v>
      </c>
      <c r="H1752">
        <v>6676.9642811973736</v>
      </c>
      <c r="I1752">
        <v>7000</v>
      </c>
      <c r="J1752">
        <v>800</v>
      </c>
      <c r="K1752">
        <v>15000</v>
      </c>
      <c r="L1752">
        <v>361.40343903671112</v>
      </c>
      <c r="M1752">
        <v>300</v>
      </c>
      <c r="N1752">
        <v>80</v>
      </c>
      <c r="O1752">
        <v>1000</v>
      </c>
      <c r="P1752">
        <v>872.0999901494223</v>
      </c>
      <c r="Q1752">
        <v>500</v>
      </c>
      <c r="R1752">
        <v>100</v>
      </c>
      <c r="S1752">
        <v>5000</v>
      </c>
      <c r="T1752">
        <v>1091.3892633499891</v>
      </c>
      <c r="U1752">
        <v>1000</v>
      </c>
      <c r="V1752">
        <v>120</v>
      </c>
      <c r="W1752">
        <v>10000</v>
      </c>
      <c r="X1752">
        <v>790.65931838940935</v>
      </c>
      <c r="Y1752">
        <v>500</v>
      </c>
      <c r="Z1752">
        <v>100</v>
      </c>
      <c r="AA1752">
        <v>4000</v>
      </c>
      <c r="AB1752">
        <v>1828.2289576654521</v>
      </c>
      <c r="AC1752">
        <v>1700</v>
      </c>
      <c r="AD1752">
        <v>210</v>
      </c>
      <c r="AE1752">
        <v>8000</v>
      </c>
      <c r="AF1752">
        <v>657.95019549533026</v>
      </c>
      <c r="AG1752">
        <v>250</v>
      </c>
      <c r="AH1752">
        <v>150</v>
      </c>
      <c r="AI1752">
        <v>3500</v>
      </c>
      <c r="AJ1752">
        <v>1987.8584346788321</v>
      </c>
      <c r="AK1752">
        <v>1100</v>
      </c>
      <c r="AL1752">
        <v>50</v>
      </c>
      <c r="AM1752">
        <v>8000</v>
      </c>
      <c r="AN1752">
        <v>638.79893474284506</v>
      </c>
      <c r="AO1752">
        <v>550</v>
      </c>
      <c r="AP1752">
        <v>100</v>
      </c>
      <c r="AQ1752">
        <v>3000</v>
      </c>
      <c r="AR1752">
        <v>2209.989579991653</v>
      </c>
      <c r="AS1752">
        <v>2000</v>
      </c>
      <c r="AT1752">
        <v>400</v>
      </c>
      <c r="AU1752">
        <v>5000</v>
      </c>
      <c r="AV1752">
        <v>2214</v>
      </c>
    </row>
    <row r="1753" spans="1:48" x14ac:dyDescent="0.25">
      <c r="A1753" t="s">
        <v>204</v>
      </c>
      <c r="B1753" t="s">
        <v>204</v>
      </c>
      <c r="C1753" t="s">
        <v>204</v>
      </c>
      <c r="D1753">
        <v>8436.3784794976564</v>
      </c>
      <c r="E1753">
        <v>7000</v>
      </c>
      <c r="F1753">
        <v>200</v>
      </c>
      <c r="G1753">
        <v>45000</v>
      </c>
      <c r="H1753">
        <v>6501.194936879966</v>
      </c>
      <c r="I1753">
        <v>6000</v>
      </c>
      <c r="J1753">
        <v>300</v>
      </c>
      <c r="K1753">
        <v>40000</v>
      </c>
      <c r="L1753">
        <v>502.89353372501961</v>
      </c>
      <c r="M1753">
        <v>350</v>
      </c>
      <c r="N1753">
        <v>50</v>
      </c>
      <c r="O1753">
        <v>5000</v>
      </c>
      <c r="P1753">
        <v>616.13024906608359</v>
      </c>
      <c r="Q1753">
        <v>400</v>
      </c>
      <c r="R1753">
        <v>50</v>
      </c>
      <c r="S1753">
        <v>10000</v>
      </c>
      <c r="T1753">
        <v>951.18609842854551</v>
      </c>
      <c r="U1753">
        <v>700</v>
      </c>
      <c r="V1753">
        <v>100</v>
      </c>
      <c r="W1753">
        <v>25000</v>
      </c>
      <c r="X1753">
        <v>858.09262746016225</v>
      </c>
      <c r="Y1753">
        <v>500</v>
      </c>
      <c r="Z1753">
        <v>100</v>
      </c>
      <c r="AA1753">
        <v>15000</v>
      </c>
      <c r="AB1753">
        <v>1908.486300427109</v>
      </c>
      <c r="AC1753">
        <v>1500</v>
      </c>
      <c r="AD1753">
        <v>100</v>
      </c>
      <c r="AE1753">
        <v>30000</v>
      </c>
      <c r="AF1753">
        <v>1002.315677150625</v>
      </c>
      <c r="AG1753">
        <v>600</v>
      </c>
      <c r="AH1753">
        <v>100</v>
      </c>
      <c r="AI1753">
        <v>18000</v>
      </c>
      <c r="AJ1753">
        <v>2625.8503028560222</v>
      </c>
      <c r="AK1753">
        <v>1500</v>
      </c>
      <c r="AL1753">
        <v>50</v>
      </c>
      <c r="AM1753">
        <v>100000</v>
      </c>
      <c r="AN1753">
        <v>685.85523947275476</v>
      </c>
      <c r="AO1753">
        <v>600</v>
      </c>
      <c r="AP1753">
        <v>50</v>
      </c>
      <c r="AQ1753">
        <v>7000</v>
      </c>
      <c r="AR1753">
        <v>2975.2918666204</v>
      </c>
      <c r="AS1753">
        <v>2000</v>
      </c>
      <c r="AT1753">
        <v>100</v>
      </c>
      <c r="AU1753">
        <v>24000</v>
      </c>
      <c r="AV1753">
        <v>2214</v>
      </c>
    </row>
    <row r="1755" spans="1:48" x14ac:dyDescent="0.25">
      <c r="A1755" t="s">
        <v>527</v>
      </c>
    </row>
    <row r="1756" spans="1:48" x14ac:dyDescent="0.25">
      <c r="A1756" t="s">
        <v>189</v>
      </c>
      <c r="B1756" t="s">
        <v>190</v>
      </c>
      <c r="C1756" t="s">
        <v>191</v>
      </c>
      <c r="D1756" t="s">
        <v>192</v>
      </c>
      <c r="E1756" t="s">
        <v>193</v>
      </c>
      <c r="F1756" t="s">
        <v>194</v>
      </c>
      <c r="G1756" t="s">
        <v>195</v>
      </c>
      <c r="H1756" t="s">
        <v>196</v>
      </c>
    </row>
    <row r="1757" spans="1:48" x14ac:dyDescent="0.25">
      <c r="A1757" t="s">
        <v>197</v>
      </c>
      <c r="B1757" t="s">
        <v>198</v>
      </c>
      <c r="C1757">
        <v>2394.5207694240862</v>
      </c>
      <c r="D1757">
        <v>2400</v>
      </c>
      <c r="E1757">
        <v>0</v>
      </c>
      <c r="F1757">
        <v>10000</v>
      </c>
      <c r="G1757">
        <v>65</v>
      </c>
      <c r="H1757">
        <v>2361</v>
      </c>
    </row>
    <row r="1758" spans="1:48" x14ac:dyDescent="0.25">
      <c r="A1758" t="s">
        <v>199</v>
      </c>
      <c r="B1758" t="s">
        <v>198</v>
      </c>
      <c r="C1758">
        <v>2423.9277386898329</v>
      </c>
      <c r="D1758">
        <v>1800</v>
      </c>
      <c r="E1758">
        <v>0</v>
      </c>
      <c r="F1758">
        <v>42000</v>
      </c>
      <c r="G1758">
        <v>332</v>
      </c>
      <c r="H1758">
        <v>2361</v>
      </c>
    </row>
    <row r="1759" spans="1:48" x14ac:dyDescent="0.25">
      <c r="A1759" t="s">
        <v>200</v>
      </c>
      <c r="B1759" t="s">
        <v>198</v>
      </c>
      <c r="C1759">
        <v>2325.909732314874</v>
      </c>
      <c r="D1759">
        <v>2000</v>
      </c>
      <c r="E1759">
        <v>0</v>
      </c>
      <c r="F1759">
        <v>16000</v>
      </c>
      <c r="G1759">
        <v>342</v>
      </c>
      <c r="H1759">
        <v>2361</v>
      </c>
    </row>
    <row r="1760" spans="1:48" x14ac:dyDescent="0.25">
      <c r="A1760" t="s">
        <v>201</v>
      </c>
      <c r="B1760" t="s">
        <v>198</v>
      </c>
      <c r="C1760">
        <v>2443.1045241453221</v>
      </c>
      <c r="D1760">
        <v>2000</v>
      </c>
      <c r="E1760">
        <v>0</v>
      </c>
      <c r="F1760">
        <v>30000</v>
      </c>
      <c r="G1760">
        <v>219</v>
      </c>
      <c r="H1760">
        <v>2361</v>
      </c>
    </row>
    <row r="1761" spans="1:10" x14ac:dyDescent="0.25">
      <c r="A1761" t="s">
        <v>202</v>
      </c>
      <c r="B1761" t="s">
        <v>198</v>
      </c>
      <c r="C1761">
        <v>2011.917427794589</v>
      </c>
      <c r="D1761">
        <v>1800</v>
      </c>
      <c r="E1761">
        <v>0</v>
      </c>
      <c r="F1761">
        <v>7000</v>
      </c>
      <c r="G1761">
        <v>80</v>
      </c>
      <c r="H1761">
        <v>2361</v>
      </c>
    </row>
    <row r="1762" spans="1:10" x14ac:dyDescent="0.25">
      <c r="A1762" t="s">
        <v>199</v>
      </c>
      <c r="B1762" t="s">
        <v>203</v>
      </c>
      <c r="C1762">
        <v>2811.0279291380111</v>
      </c>
      <c r="D1762">
        <v>2000</v>
      </c>
      <c r="E1762">
        <v>0</v>
      </c>
      <c r="F1762">
        <v>40000</v>
      </c>
      <c r="G1762">
        <v>491</v>
      </c>
      <c r="H1762">
        <v>2361</v>
      </c>
    </row>
    <row r="1763" spans="1:10" x14ac:dyDescent="0.25">
      <c r="A1763" t="s">
        <v>200</v>
      </c>
      <c r="B1763" t="s">
        <v>203</v>
      </c>
      <c r="C1763">
        <v>2599.5696794153951</v>
      </c>
      <c r="D1763">
        <v>2000</v>
      </c>
      <c r="E1763">
        <v>0</v>
      </c>
      <c r="F1763">
        <v>20000</v>
      </c>
      <c r="G1763">
        <v>472</v>
      </c>
      <c r="H1763">
        <v>2361</v>
      </c>
    </row>
    <row r="1764" spans="1:10" x14ac:dyDescent="0.25">
      <c r="A1764" t="s">
        <v>201</v>
      </c>
      <c r="B1764" t="s">
        <v>203</v>
      </c>
      <c r="C1764">
        <v>2483.7823770217001</v>
      </c>
      <c r="D1764">
        <v>2000</v>
      </c>
      <c r="E1764">
        <v>0</v>
      </c>
      <c r="F1764">
        <v>35000</v>
      </c>
      <c r="G1764">
        <v>279</v>
      </c>
      <c r="H1764">
        <v>2361</v>
      </c>
    </row>
    <row r="1765" spans="1:10" x14ac:dyDescent="0.25">
      <c r="A1765" t="s">
        <v>202</v>
      </c>
      <c r="B1765" t="s">
        <v>203</v>
      </c>
      <c r="C1765">
        <v>2332.1288500181022</v>
      </c>
      <c r="D1765">
        <v>2000</v>
      </c>
      <c r="E1765">
        <v>0</v>
      </c>
      <c r="F1765">
        <v>10000</v>
      </c>
      <c r="G1765">
        <v>81</v>
      </c>
      <c r="H1765">
        <v>2361</v>
      </c>
    </row>
    <row r="1766" spans="1:10" x14ac:dyDescent="0.25">
      <c r="A1766" t="s">
        <v>204</v>
      </c>
      <c r="B1766" t="s">
        <v>204</v>
      </c>
      <c r="C1766">
        <v>2484.3163168326828</v>
      </c>
      <c r="D1766">
        <v>2000</v>
      </c>
      <c r="E1766">
        <v>0</v>
      </c>
      <c r="F1766">
        <v>42000</v>
      </c>
      <c r="G1766">
        <v>2361</v>
      </c>
      <c r="H1766">
        <v>2361</v>
      </c>
    </row>
    <row r="1768" spans="1:10" x14ac:dyDescent="0.25">
      <c r="A1768" t="s">
        <v>528</v>
      </c>
    </row>
    <row r="1769" spans="1:10" x14ac:dyDescent="0.25">
      <c r="A1769" t="s">
        <v>189</v>
      </c>
      <c r="B1769" t="s">
        <v>190</v>
      </c>
      <c r="C1769" t="s">
        <v>206</v>
      </c>
      <c r="D1769" t="s">
        <v>529</v>
      </c>
      <c r="E1769" t="s">
        <v>191</v>
      </c>
      <c r="F1769" t="s">
        <v>192</v>
      </c>
      <c r="G1769" t="s">
        <v>193</v>
      </c>
      <c r="H1769" t="s">
        <v>194</v>
      </c>
      <c r="I1769" t="s">
        <v>195</v>
      </c>
      <c r="J1769" t="s">
        <v>196</v>
      </c>
    </row>
    <row r="1770" spans="1:10" s="29" customFormat="1" x14ac:dyDescent="0.25">
      <c r="A1770" s="29" t="s">
        <v>197</v>
      </c>
      <c r="B1770" s="29" t="s">
        <v>198</v>
      </c>
      <c r="C1770" s="29" t="s">
        <v>228</v>
      </c>
      <c r="D1770" s="29" t="s">
        <v>530</v>
      </c>
      <c r="E1770" s="29">
        <v>2988.368835693147</v>
      </c>
      <c r="F1770" s="29">
        <v>3000</v>
      </c>
      <c r="G1770" s="29">
        <v>0</v>
      </c>
      <c r="H1770" s="29">
        <v>10000</v>
      </c>
      <c r="I1770" s="29">
        <v>27</v>
      </c>
      <c r="J1770" s="29">
        <v>2361</v>
      </c>
    </row>
    <row r="1771" spans="1:10" x14ac:dyDescent="0.25">
      <c r="A1771" t="s">
        <v>197</v>
      </c>
      <c r="B1771" t="s">
        <v>198</v>
      </c>
      <c r="C1771" t="s">
        <v>229</v>
      </c>
      <c r="D1771" t="s">
        <v>530</v>
      </c>
      <c r="E1771">
        <v>1921.657857146716</v>
      </c>
      <c r="F1771">
        <v>2000</v>
      </c>
      <c r="G1771">
        <v>0</v>
      </c>
      <c r="H1771">
        <v>6500</v>
      </c>
      <c r="I1771">
        <v>38</v>
      </c>
      <c r="J1771">
        <v>2361</v>
      </c>
    </row>
    <row r="1772" spans="1:10" x14ac:dyDescent="0.25">
      <c r="A1772" t="s">
        <v>199</v>
      </c>
      <c r="B1772" t="s">
        <v>198</v>
      </c>
      <c r="C1772" t="s">
        <v>228</v>
      </c>
      <c r="D1772" t="s">
        <v>530</v>
      </c>
      <c r="E1772">
        <v>2915.9294400708541</v>
      </c>
      <c r="F1772">
        <v>2000</v>
      </c>
      <c r="G1772">
        <v>0</v>
      </c>
      <c r="H1772">
        <v>42000</v>
      </c>
      <c r="I1772">
        <v>131</v>
      </c>
      <c r="J1772">
        <v>2361</v>
      </c>
    </row>
    <row r="1773" spans="1:10" x14ac:dyDescent="0.25">
      <c r="A1773" t="s">
        <v>199</v>
      </c>
      <c r="B1773" t="s">
        <v>198</v>
      </c>
      <c r="C1773" t="s">
        <v>229</v>
      </c>
      <c r="D1773" t="s">
        <v>530</v>
      </c>
      <c r="E1773">
        <v>2229.1911409717632</v>
      </c>
      <c r="F1773">
        <v>1800</v>
      </c>
      <c r="G1773">
        <v>0</v>
      </c>
      <c r="H1773">
        <v>12500</v>
      </c>
      <c r="I1773">
        <v>191</v>
      </c>
      <c r="J1773">
        <v>2361</v>
      </c>
    </row>
    <row r="1774" spans="1:10" x14ac:dyDescent="0.25">
      <c r="A1774" t="s">
        <v>200</v>
      </c>
      <c r="B1774" t="s">
        <v>198</v>
      </c>
      <c r="C1774" t="s">
        <v>228</v>
      </c>
      <c r="D1774" t="s">
        <v>530</v>
      </c>
      <c r="E1774">
        <v>2911.6185082062871</v>
      </c>
      <c r="F1774">
        <v>2500</v>
      </c>
      <c r="G1774">
        <v>0</v>
      </c>
      <c r="H1774">
        <v>16000</v>
      </c>
      <c r="I1774">
        <v>96</v>
      </c>
      <c r="J1774">
        <v>2361</v>
      </c>
    </row>
    <row r="1775" spans="1:10" x14ac:dyDescent="0.25">
      <c r="A1775" t="s">
        <v>200</v>
      </c>
      <c r="B1775" t="s">
        <v>198</v>
      </c>
      <c r="C1775" t="s">
        <v>229</v>
      </c>
      <c r="D1775" t="s">
        <v>530</v>
      </c>
      <c r="E1775">
        <v>2159.0001655627379</v>
      </c>
      <c r="F1775">
        <v>2000</v>
      </c>
      <c r="G1775">
        <v>0</v>
      </c>
      <c r="H1775">
        <v>10000</v>
      </c>
      <c r="I1775">
        <v>243</v>
      </c>
      <c r="J1775">
        <v>2361</v>
      </c>
    </row>
    <row r="1776" spans="1:10" x14ac:dyDescent="0.25">
      <c r="A1776" t="s">
        <v>201</v>
      </c>
      <c r="B1776" t="s">
        <v>198</v>
      </c>
      <c r="C1776" t="s">
        <v>228</v>
      </c>
      <c r="D1776" t="s">
        <v>530</v>
      </c>
      <c r="E1776">
        <v>3562.0357371769101</v>
      </c>
      <c r="F1776">
        <v>2000</v>
      </c>
      <c r="G1776">
        <v>0</v>
      </c>
      <c r="H1776">
        <v>30000</v>
      </c>
      <c r="I1776">
        <v>85</v>
      </c>
      <c r="J1776">
        <v>2361</v>
      </c>
    </row>
    <row r="1777" spans="1:10" x14ac:dyDescent="0.25">
      <c r="A1777" t="s">
        <v>201</v>
      </c>
      <c r="B1777" t="s">
        <v>198</v>
      </c>
      <c r="C1777" t="s">
        <v>229</v>
      </c>
      <c r="D1777" t="s">
        <v>530</v>
      </c>
      <c r="E1777">
        <v>2141.7371298045032</v>
      </c>
      <c r="F1777">
        <v>2000</v>
      </c>
      <c r="G1777">
        <v>0</v>
      </c>
      <c r="H1777">
        <v>8000</v>
      </c>
      <c r="I1777">
        <v>130</v>
      </c>
      <c r="J1777">
        <v>2361</v>
      </c>
    </row>
    <row r="1778" spans="1:10" s="29" customFormat="1" x14ac:dyDescent="0.25">
      <c r="A1778" s="29" t="s">
        <v>202</v>
      </c>
      <c r="B1778" s="29" t="s">
        <v>198</v>
      </c>
      <c r="C1778" s="29" t="s">
        <v>228</v>
      </c>
      <c r="D1778" s="29" t="s">
        <v>530</v>
      </c>
      <c r="E1778" s="29">
        <v>2275.4005523201408</v>
      </c>
      <c r="F1778" s="29">
        <v>2000</v>
      </c>
      <c r="G1778" s="29">
        <v>0</v>
      </c>
      <c r="H1778" s="29">
        <v>7000</v>
      </c>
      <c r="I1778" s="29">
        <v>24</v>
      </c>
      <c r="J1778" s="29">
        <v>2361</v>
      </c>
    </row>
    <row r="1779" spans="1:10" x14ac:dyDescent="0.25">
      <c r="A1779" t="s">
        <v>202</v>
      </c>
      <c r="B1779" t="s">
        <v>198</v>
      </c>
      <c r="C1779" t="s">
        <v>229</v>
      </c>
      <c r="D1779" t="s">
        <v>530</v>
      </c>
      <c r="E1779">
        <v>1948.181884423142</v>
      </c>
      <c r="F1779">
        <v>1800</v>
      </c>
      <c r="G1779">
        <v>0</v>
      </c>
      <c r="H1779">
        <v>6000</v>
      </c>
      <c r="I1779">
        <v>56</v>
      </c>
      <c r="J1779">
        <v>2361</v>
      </c>
    </row>
    <row r="1780" spans="1:10" x14ac:dyDescent="0.25">
      <c r="A1780" t="s">
        <v>199</v>
      </c>
      <c r="B1780" t="s">
        <v>203</v>
      </c>
      <c r="C1780" t="s">
        <v>228</v>
      </c>
      <c r="D1780" t="s">
        <v>530</v>
      </c>
      <c r="E1780">
        <v>3748.0704929782501</v>
      </c>
      <c r="F1780">
        <v>3000</v>
      </c>
      <c r="G1780">
        <v>0</v>
      </c>
      <c r="H1780">
        <v>40000</v>
      </c>
      <c r="I1780">
        <v>142</v>
      </c>
      <c r="J1780">
        <v>2361</v>
      </c>
    </row>
    <row r="1781" spans="1:10" x14ac:dyDescent="0.25">
      <c r="A1781" t="s">
        <v>199</v>
      </c>
      <c r="B1781" t="s">
        <v>203</v>
      </c>
      <c r="C1781" t="s">
        <v>229</v>
      </c>
      <c r="D1781" t="s">
        <v>530</v>
      </c>
      <c r="E1781">
        <v>2697.3647085647722</v>
      </c>
      <c r="F1781">
        <v>2000</v>
      </c>
      <c r="G1781">
        <v>0</v>
      </c>
      <c r="H1781">
        <v>30000</v>
      </c>
      <c r="I1781">
        <v>341</v>
      </c>
      <c r="J1781">
        <v>2361</v>
      </c>
    </row>
    <row r="1782" spans="1:10" x14ac:dyDescent="0.25">
      <c r="A1782" t="s">
        <v>200</v>
      </c>
      <c r="B1782" t="s">
        <v>203</v>
      </c>
      <c r="C1782" t="s">
        <v>228</v>
      </c>
      <c r="D1782" t="s">
        <v>530</v>
      </c>
      <c r="E1782">
        <v>3310.864475634904</v>
      </c>
      <c r="F1782">
        <v>3000</v>
      </c>
      <c r="G1782">
        <v>0</v>
      </c>
      <c r="H1782">
        <v>20000</v>
      </c>
      <c r="I1782">
        <v>145</v>
      </c>
      <c r="J1782">
        <v>2361</v>
      </c>
    </row>
    <row r="1783" spans="1:10" x14ac:dyDescent="0.25">
      <c r="A1783" t="s">
        <v>200</v>
      </c>
      <c r="B1783" t="s">
        <v>203</v>
      </c>
      <c r="C1783" t="s">
        <v>229</v>
      </c>
      <c r="D1783" t="s">
        <v>530</v>
      </c>
      <c r="E1783">
        <v>2425.9868647179142</v>
      </c>
      <c r="F1783">
        <v>2000</v>
      </c>
      <c r="G1783">
        <v>0</v>
      </c>
      <c r="H1783">
        <v>18000</v>
      </c>
      <c r="I1783">
        <v>326</v>
      </c>
      <c r="J1783">
        <v>2361</v>
      </c>
    </row>
    <row r="1784" spans="1:10" x14ac:dyDescent="0.25">
      <c r="A1784" t="s">
        <v>201</v>
      </c>
      <c r="B1784" t="s">
        <v>203</v>
      </c>
      <c r="C1784" t="s">
        <v>228</v>
      </c>
      <c r="D1784" t="s">
        <v>530</v>
      </c>
      <c r="E1784">
        <v>3887.738048920196</v>
      </c>
      <c r="F1784">
        <v>4000</v>
      </c>
      <c r="G1784">
        <v>0</v>
      </c>
      <c r="H1784">
        <v>35000</v>
      </c>
      <c r="I1784">
        <v>155</v>
      </c>
      <c r="J1784">
        <v>2361</v>
      </c>
    </row>
    <row r="1785" spans="1:10" x14ac:dyDescent="0.25">
      <c r="A1785" t="s">
        <v>201</v>
      </c>
      <c r="B1785" t="s">
        <v>203</v>
      </c>
      <c r="C1785" t="s">
        <v>229</v>
      </c>
      <c r="D1785" t="s">
        <v>530</v>
      </c>
      <c r="E1785">
        <v>1994.7499231053209</v>
      </c>
      <c r="F1785">
        <v>1800</v>
      </c>
      <c r="G1785">
        <v>0</v>
      </c>
      <c r="H1785">
        <v>10000</v>
      </c>
      <c r="I1785">
        <v>118</v>
      </c>
      <c r="J1785">
        <v>2361</v>
      </c>
    </row>
    <row r="1786" spans="1:10" x14ac:dyDescent="0.25">
      <c r="A1786" t="s">
        <v>202</v>
      </c>
      <c r="B1786" t="s">
        <v>203</v>
      </c>
      <c r="C1786" t="s">
        <v>228</v>
      </c>
      <c r="D1786" t="s">
        <v>530</v>
      </c>
      <c r="E1786">
        <v>3061.4870057486819</v>
      </c>
      <c r="F1786">
        <v>3000</v>
      </c>
      <c r="G1786">
        <v>1000</v>
      </c>
      <c r="H1786">
        <v>10000</v>
      </c>
      <c r="I1786">
        <v>31</v>
      </c>
      <c r="J1786">
        <v>2361</v>
      </c>
    </row>
    <row r="1787" spans="1:10" x14ac:dyDescent="0.25">
      <c r="A1787" t="s">
        <v>202</v>
      </c>
      <c r="B1787" t="s">
        <v>203</v>
      </c>
      <c r="C1787" t="s">
        <v>229</v>
      </c>
      <c r="D1787" t="s">
        <v>530</v>
      </c>
      <c r="E1787">
        <v>2044.977014161509</v>
      </c>
      <c r="F1787">
        <v>2000</v>
      </c>
      <c r="G1787">
        <v>0</v>
      </c>
      <c r="H1787">
        <v>6000</v>
      </c>
      <c r="I1787">
        <v>50</v>
      </c>
      <c r="J1787">
        <v>2361</v>
      </c>
    </row>
    <row r="1788" spans="1:10" x14ac:dyDescent="0.25">
      <c r="A1788" t="s">
        <v>204</v>
      </c>
      <c r="B1788" t="s">
        <v>204</v>
      </c>
      <c r="C1788" t="s">
        <v>204</v>
      </c>
      <c r="D1788" t="s">
        <v>204</v>
      </c>
      <c r="E1788">
        <v>2484.3163168326828</v>
      </c>
      <c r="F1788">
        <v>2000</v>
      </c>
      <c r="G1788">
        <v>0</v>
      </c>
      <c r="H1788">
        <v>42000</v>
      </c>
      <c r="I1788">
        <v>2361</v>
      </c>
      <c r="J1788">
        <v>2361</v>
      </c>
    </row>
    <row r="1790" spans="1:10" x14ac:dyDescent="0.25">
      <c r="A1790" t="s">
        <v>531</v>
      </c>
    </row>
    <row r="1791" spans="1:10" x14ac:dyDescent="0.25">
      <c r="A1791" t="s">
        <v>189</v>
      </c>
      <c r="B1791" t="s">
        <v>190</v>
      </c>
      <c r="C1791" t="s">
        <v>206</v>
      </c>
      <c r="D1791" t="s">
        <v>529</v>
      </c>
      <c r="E1791" t="s">
        <v>191</v>
      </c>
      <c r="F1791" t="s">
        <v>192</v>
      </c>
      <c r="G1791" t="s">
        <v>193</v>
      </c>
      <c r="H1791" t="s">
        <v>194</v>
      </c>
      <c r="I1791" t="s">
        <v>195</v>
      </c>
      <c r="J1791" t="s">
        <v>196</v>
      </c>
    </row>
    <row r="1792" spans="1:10" x14ac:dyDescent="0.25">
      <c r="A1792" t="s">
        <v>197</v>
      </c>
      <c r="B1792" t="s">
        <v>198</v>
      </c>
      <c r="C1792" t="s">
        <v>348</v>
      </c>
      <c r="D1792" t="s">
        <v>532</v>
      </c>
      <c r="E1792">
        <v>2413.1776941753651</v>
      </c>
      <c r="F1792">
        <v>2400</v>
      </c>
      <c r="G1792">
        <v>0</v>
      </c>
      <c r="H1792">
        <v>10000</v>
      </c>
      <c r="I1792">
        <v>63</v>
      </c>
      <c r="J1792">
        <v>2361</v>
      </c>
    </row>
    <row r="1793" spans="1:10" s="29" customFormat="1" x14ac:dyDescent="0.25">
      <c r="A1793" s="29" t="s">
        <v>197</v>
      </c>
      <c r="B1793" s="29" t="s">
        <v>198</v>
      </c>
      <c r="C1793" s="29" t="s">
        <v>349</v>
      </c>
      <c r="D1793" s="29" t="s">
        <v>532</v>
      </c>
      <c r="E1793" s="29">
        <v>1750</v>
      </c>
      <c r="F1793" s="29">
        <v>500</v>
      </c>
      <c r="G1793" s="29">
        <v>500</v>
      </c>
      <c r="H1793" s="29">
        <v>3000</v>
      </c>
      <c r="I1793" s="29">
        <v>2</v>
      </c>
      <c r="J1793" s="29">
        <v>2361</v>
      </c>
    </row>
    <row r="1794" spans="1:10" x14ac:dyDescent="0.25">
      <c r="A1794" t="s">
        <v>199</v>
      </c>
      <c r="B1794" t="s">
        <v>198</v>
      </c>
      <c r="C1794" t="s">
        <v>348</v>
      </c>
      <c r="D1794" t="s">
        <v>532</v>
      </c>
      <c r="E1794">
        <v>2112.1786695495662</v>
      </c>
      <c r="F1794">
        <v>2000</v>
      </c>
      <c r="G1794">
        <v>0</v>
      </c>
      <c r="H1794">
        <v>8000</v>
      </c>
      <c r="I1794">
        <v>50</v>
      </c>
      <c r="J1794">
        <v>2361</v>
      </c>
    </row>
    <row r="1795" spans="1:10" x14ac:dyDescent="0.25">
      <c r="A1795" t="s">
        <v>199</v>
      </c>
      <c r="B1795" t="s">
        <v>198</v>
      </c>
      <c r="C1795" t="s">
        <v>349</v>
      </c>
      <c r="D1795" t="s">
        <v>532</v>
      </c>
      <c r="E1795">
        <v>1899.4341198351619</v>
      </c>
      <c r="F1795">
        <v>1900</v>
      </c>
      <c r="G1795">
        <v>0</v>
      </c>
      <c r="H1795">
        <v>11000</v>
      </c>
      <c r="I1795">
        <v>100</v>
      </c>
      <c r="J1795">
        <v>2361</v>
      </c>
    </row>
    <row r="1796" spans="1:10" x14ac:dyDescent="0.25">
      <c r="A1796" t="s">
        <v>199</v>
      </c>
      <c r="B1796" t="s">
        <v>198</v>
      </c>
      <c r="C1796" t="s">
        <v>350</v>
      </c>
      <c r="D1796" t="s">
        <v>532</v>
      </c>
      <c r="E1796">
        <v>3093.0366773005289</v>
      </c>
      <c r="F1796">
        <v>1800</v>
      </c>
      <c r="G1796">
        <v>0</v>
      </c>
      <c r="H1796">
        <v>42000</v>
      </c>
      <c r="I1796">
        <v>172</v>
      </c>
      <c r="J1796">
        <v>2361</v>
      </c>
    </row>
    <row r="1797" spans="1:10" x14ac:dyDescent="0.25">
      <c r="A1797" t="s">
        <v>200</v>
      </c>
      <c r="B1797" t="s">
        <v>198</v>
      </c>
      <c r="C1797" t="s">
        <v>348</v>
      </c>
      <c r="D1797" t="s">
        <v>532</v>
      </c>
      <c r="E1797">
        <v>2304.1596655858748</v>
      </c>
      <c r="F1797">
        <v>2000</v>
      </c>
      <c r="G1797">
        <v>0</v>
      </c>
      <c r="H1797">
        <v>8000</v>
      </c>
      <c r="I1797">
        <v>215</v>
      </c>
      <c r="J1797">
        <v>2361</v>
      </c>
    </row>
    <row r="1798" spans="1:10" x14ac:dyDescent="0.25">
      <c r="A1798" t="s">
        <v>200</v>
      </c>
      <c r="B1798" t="s">
        <v>198</v>
      </c>
      <c r="C1798" t="s">
        <v>349</v>
      </c>
      <c r="D1798" t="s">
        <v>532</v>
      </c>
      <c r="E1798">
        <v>2355.039947700257</v>
      </c>
      <c r="F1798">
        <v>2000</v>
      </c>
      <c r="G1798">
        <v>500</v>
      </c>
      <c r="H1798">
        <v>9000</v>
      </c>
      <c r="I1798">
        <v>57</v>
      </c>
      <c r="J1798">
        <v>2361</v>
      </c>
    </row>
    <row r="1799" spans="1:10" x14ac:dyDescent="0.25">
      <c r="A1799" t="s">
        <v>200</v>
      </c>
      <c r="B1799" t="s">
        <v>198</v>
      </c>
      <c r="C1799" t="s">
        <v>350</v>
      </c>
      <c r="D1799" t="s">
        <v>532</v>
      </c>
      <c r="E1799">
        <v>2581.024341582995</v>
      </c>
      <c r="F1799">
        <v>2000</v>
      </c>
      <c r="G1799">
        <v>0</v>
      </c>
      <c r="H1799">
        <v>16000</v>
      </c>
      <c r="I1799">
        <v>67</v>
      </c>
      <c r="J1799">
        <v>2361</v>
      </c>
    </row>
    <row r="1800" spans="1:10" x14ac:dyDescent="0.25">
      <c r="A1800" t="s">
        <v>201</v>
      </c>
      <c r="B1800" t="s">
        <v>198</v>
      </c>
      <c r="C1800" t="s">
        <v>348</v>
      </c>
      <c r="D1800" t="s">
        <v>532</v>
      </c>
      <c r="E1800">
        <v>3552.327003478847</v>
      </c>
      <c r="F1800">
        <v>2500</v>
      </c>
      <c r="G1800">
        <v>0</v>
      </c>
      <c r="H1800">
        <v>30000</v>
      </c>
      <c r="I1800">
        <v>51</v>
      </c>
      <c r="J1800">
        <v>2361</v>
      </c>
    </row>
    <row r="1801" spans="1:10" x14ac:dyDescent="0.25">
      <c r="A1801" t="s">
        <v>201</v>
      </c>
      <c r="B1801" t="s">
        <v>198</v>
      </c>
      <c r="C1801" t="s">
        <v>349</v>
      </c>
      <c r="D1801" t="s">
        <v>532</v>
      </c>
      <c r="E1801">
        <v>2054.9337101909582</v>
      </c>
      <c r="F1801">
        <v>2000</v>
      </c>
      <c r="G1801">
        <v>0</v>
      </c>
      <c r="H1801">
        <v>10000</v>
      </c>
      <c r="I1801">
        <v>109</v>
      </c>
      <c r="J1801">
        <v>2361</v>
      </c>
    </row>
    <row r="1802" spans="1:10" x14ac:dyDescent="0.25">
      <c r="A1802" t="s">
        <v>201</v>
      </c>
      <c r="B1802" t="s">
        <v>198</v>
      </c>
      <c r="C1802" t="s">
        <v>350</v>
      </c>
      <c r="D1802" t="s">
        <v>532</v>
      </c>
      <c r="E1802">
        <v>2725.5571561227262</v>
      </c>
      <c r="F1802">
        <v>2500</v>
      </c>
      <c r="G1802">
        <v>0</v>
      </c>
      <c r="H1802">
        <v>10000</v>
      </c>
      <c r="I1802">
        <v>55</v>
      </c>
      <c r="J1802">
        <v>2361</v>
      </c>
    </row>
    <row r="1803" spans="1:10" x14ac:dyDescent="0.25">
      <c r="A1803" t="s">
        <v>202</v>
      </c>
      <c r="B1803" t="s">
        <v>198</v>
      </c>
      <c r="C1803" t="s">
        <v>348</v>
      </c>
      <c r="D1803" t="s">
        <v>532</v>
      </c>
      <c r="E1803">
        <v>2011.917427794589</v>
      </c>
      <c r="F1803">
        <v>1800</v>
      </c>
      <c r="G1803">
        <v>0</v>
      </c>
      <c r="H1803">
        <v>7000</v>
      </c>
      <c r="I1803">
        <v>80</v>
      </c>
      <c r="J1803">
        <v>2361</v>
      </c>
    </row>
    <row r="1804" spans="1:10" x14ac:dyDescent="0.25">
      <c r="A1804" t="s">
        <v>199</v>
      </c>
      <c r="B1804" t="s">
        <v>203</v>
      </c>
      <c r="C1804" t="s">
        <v>348</v>
      </c>
      <c r="D1804" t="s">
        <v>532</v>
      </c>
      <c r="E1804">
        <v>2896.0853865608351</v>
      </c>
      <c r="F1804">
        <v>2000</v>
      </c>
      <c r="G1804">
        <v>0</v>
      </c>
      <c r="H1804">
        <v>22000</v>
      </c>
      <c r="I1804">
        <v>40</v>
      </c>
      <c r="J1804">
        <v>2361</v>
      </c>
    </row>
    <row r="1805" spans="1:10" x14ac:dyDescent="0.25">
      <c r="A1805" t="s">
        <v>199</v>
      </c>
      <c r="B1805" t="s">
        <v>203</v>
      </c>
      <c r="C1805" t="s">
        <v>349</v>
      </c>
      <c r="D1805" t="s">
        <v>532</v>
      </c>
      <c r="E1805">
        <v>2670.294606717368</v>
      </c>
      <c r="F1805">
        <v>2000</v>
      </c>
      <c r="G1805">
        <v>0</v>
      </c>
      <c r="H1805">
        <v>40000</v>
      </c>
      <c r="I1805">
        <v>166</v>
      </c>
      <c r="J1805">
        <v>2361</v>
      </c>
    </row>
    <row r="1806" spans="1:10" x14ac:dyDescent="0.25">
      <c r="A1806" t="s">
        <v>199</v>
      </c>
      <c r="B1806" t="s">
        <v>203</v>
      </c>
      <c r="C1806" t="s">
        <v>350</v>
      </c>
      <c r="D1806" t="s">
        <v>532</v>
      </c>
      <c r="E1806">
        <v>2875.909353554573</v>
      </c>
      <c r="F1806">
        <v>2200</v>
      </c>
      <c r="G1806">
        <v>0</v>
      </c>
      <c r="H1806">
        <v>30000</v>
      </c>
      <c r="I1806">
        <v>277</v>
      </c>
      <c r="J1806">
        <v>2361</v>
      </c>
    </row>
    <row r="1807" spans="1:10" x14ac:dyDescent="0.25">
      <c r="A1807" t="s">
        <v>200</v>
      </c>
      <c r="B1807" t="s">
        <v>203</v>
      </c>
      <c r="C1807" t="s">
        <v>348</v>
      </c>
      <c r="D1807" t="s">
        <v>532</v>
      </c>
      <c r="E1807">
        <v>2628.1232479714909</v>
      </c>
      <c r="F1807">
        <v>2000</v>
      </c>
      <c r="G1807">
        <v>0</v>
      </c>
      <c r="H1807">
        <v>20000</v>
      </c>
      <c r="I1807">
        <v>277</v>
      </c>
      <c r="J1807">
        <v>2361</v>
      </c>
    </row>
    <row r="1808" spans="1:10" x14ac:dyDescent="0.25">
      <c r="A1808" t="s">
        <v>200</v>
      </c>
      <c r="B1808" t="s">
        <v>203</v>
      </c>
      <c r="C1808" t="s">
        <v>349</v>
      </c>
      <c r="D1808" t="s">
        <v>532</v>
      </c>
      <c r="E1808">
        <v>2265.357909678823</v>
      </c>
      <c r="F1808">
        <v>2000</v>
      </c>
      <c r="G1808">
        <v>0</v>
      </c>
      <c r="H1808">
        <v>10000</v>
      </c>
      <c r="I1808">
        <v>105</v>
      </c>
      <c r="J1808">
        <v>2361</v>
      </c>
    </row>
    <row r="1809" spans="1:13" x14ac:dyDescent="0.25">
      <c r="A1809" t="s">
        <v>200</v>
      </c>
      <c r="B1809" t="s">
        <v>203</v>
      </c>
      <c r="C1809" t="s">
        <v>350</v>
      </c>
      <c r="D1809" t="s">
        <v>532</v>
      </c>
      <c r="E1809">
        <v>2677.8777514671242</v>
      </c>
      <c r="F1809">
        <v>2000</v>
      </c>
      <c r="G1809">
        <v>700</v>
      </c>
      <c r="H1809">
        <v>10000</v>
      </c>
      <c r="I1809">
        <v>89</v>
      </c>
      <c r="J1809">
        <v>2361</v>
      </c>
    </row>
    <row r="1810" spans="1:13" x14ac:dyDescent="0.25">
      <c r="A1810" t="s">
        <v>201</v>
      </c>
      <c r="B1810" t="s">
        <v>203</v>
      </c>
      <c r="C1810" t="s">
        <v>348</v>
      </c>
      <c r="D1810" t="s">
        <v>532</v>
      </c>
      <c r="E1810">
        <v>4014.8639972053811</v>
      </c>
      <c r="F1810">
        <v>3000</v>
      </c>
      <c r="G1810">
        <v>0</v>
      </c>
      <c r="H1810">
        <v>25000</v>
      </c>
      <c r="I1810">
        <v>53</v>
      </c>
      <c r="J1810">
        <v>2361</v>
      </c>
    </row>
    <row r="1811" spans="1:13" x14ac:dyDescent="0.25">
      <c r="A1811" t="s">
        <v>201</v>
      </c>
      <c r="B1811" t="s">
        <v>203</v>
      </c>
      <c r="C1811" t="s">
        <v>349</v>
      </c>
      <c r="D1811" t="s">
        <v>532</v>
      </c>
      <c r="E1811">
        <v>2236.6101725774729</v>
      </c>
      <c r="F1811">
        <v>2000</v>
      </c>
      <c r="G1811">
        <v>0</v>
      </c>
      <c r="H1811">
        <v>13000</v>
      </c>
      <c r="I1811">
        <v>133</v>
      </c>
      <c r="J1811">
        <v>2361</v>
      </c>
    </row>
    <row r="1812" spans="1:13" x14ac:dyDescent="0.25">
      <c r="A1812" t="s">
        <v>201</v>
      </c>
      <c r="B1812" t="s">
        <v>203</v>
      </c>
      <c r="C1812" t="s">
        <v>350</v>
      </c>
      <c r="D1812" t="s">
        <v>532</v>
      </c>
      <c r="E1812">
        <v>2869.558401668437</v>
      </c>
      <c r="F1812">
        <v>2500</v>
      </c>
      <c r="G1812">
        <v>0</v>
      </c>
      <c r="H1812">
        <v>35000</v>
      </c>
      <c r="I1812">
        <v>87</v>
      </c>
      <c r="J1812">
        <v>2361</v>
      </c>
    </row>
    <row r="1813" spans="1:13" x14ac:dyDescent="0.25">
      <c r="A1813" t="s">
        <v>202</v>
      </c>
      <c r="B1813" t="s">
        <v>203</v>
      </c>
      <c r="C1813" t="s">
        <v>348</v>
      </c>
      <c r="D1813" t="s">
        <v>532</v>
      </c>
      <c r="E1813">
        <v>2332.1288500181022</v>
      </c>
      <c r="F1813">
        <v>2000</v>
      </c>
      <c r="G1813">
        <v>0</v>
      </c>
      <c r="H1813">
        <v>10000</v>
      </c>
      <c r="I1813">
        <v>81</v>
      </c>
      <c r="J1813">
        <v>2361</v>
      </c>
    </row>
    <row r="1814" spans="1:13" x14ac:dyDescent="0.25">
      <c r="A1814" t="s">
        <v>204</v>
      </c>
      <c r="B1814" t="s">
        <v>204</v>
      </c>
      <c r="C1814" t="s">
        <v>204</v>
      </c>
      <c r="D1814" t="s">
        <v>204</v>
      </c>
      <c r="E1814">
        <v>2484.3163168326828</v>
      </c>
      <c r="F1814">
        <v>2000</v>
      </c>
      <c r="G1814">
        <v>0</v>
      </c>
      <c r="H1814">
        <v>42000</v>
      </c>
      <c r="I1814">
        <v>2361</v>
      </c>
      <c r="J1814">
        <v>2361</v>
      </c>
    </row>
    <row r="1816" spans="1:13" x14ac:dyDescent="0.25">
      <c r="A1816" t="s">
        <v>533</v>
      </c>
    </row>
    <row r="1817" spans="1:13" x14ac:dyDescent="0.25">
      <c r="A1817" t="s">
        <v>190</v>
      </c>
      <c r="B1817" t="s">
        <v>195</v>
      </c>
      <c r="C1817" t="s">
        <v>189</v>
      </c>
      <c r="D1817" t="s">
        <v>196</v>
      </c>
      <c r="E1817" t="s">
        <v>534</v>
      </c>
      <c r="F1817" t="s">
        <v>535</v>
      </c>
      <c r="G1817" t="s">
        <v>388</v>
      </c>
      <c r="H1817" t="s">
        <v>536</v>
      </c>
      <c r="I1817" t="s">
        <v>537</v>
      </c>
      <c r="J1817" t="s">
        <v>538</v>
      </c>
      <c r="K1817" t="s">
        <v>271</v>
      </c>
      <c r="L1817" t="s">
        <v>215</v>
      </c>
      <c r="M1817" t="s">
        <v>539</v>
      </c>
    </row>
    <row r="1818" spans="1:13" x14ac:dyDescent="0.25">
      <c r="A1818" t="s">
        <v>198</v>
      </c>
      <c r="B1818">
        <v>81</v>
      </c>
      <c r="C1818" t="s">
        <v>197</v>
      </c>
      <c r="D1818">
        <v>2617</v>
      </c>
      <c r="E1818" s="1">
        <v>1.3899999999999999E-2</v>
      </c>
      <c r="F1818" s="1">
        <v>0.1416</v>
      </c>
      <c r="G1818" s="1">
        <v>2.87E-2</v>
      </c>
      <c r="H1818" s="1">
        <v>0.2482</v>
      </c>
      <c r="I1818" s="1">
        <v>0.81659999999999999</v>
      </c>
      <c r="J1818" s="1">
        <v>0.58279999999999998</v>
      </c>
      <c r="K1818" s="1">
        <v>5.1499999999999997E-2</v>
      </c>
      <c r="M1818" s="1">
        <v>0.26440000000000002</v>
      </c>
    </row>
    <row r="1819" spans="1:13" x14ac:dyDescent="0.25">
      <c r="A1819" t="s">
        <v>198</v>
      </c>
      <c r="B1819">
        <v>367</v>
      </c>
      <c r="C1819" t="s">
        <v>199</v>
      </c>
      <c r="D1819">
        <v>2617</v>
      </c>
      <c r="E1819" s="1">
        <v>6.8900000000000003E-2</v>
      </c>
      <c r="F1819" s="1">
        <v>0.1116</v>
      </c>
      <c r="G1819" s="1">
        <v>3.2000000000000002E-3</v>
      </c>
      <c r="H1819" s="1">
        <v>0.27539999999999998</v>
      </c>
      <c r="I1819" s="1">
        <v>0.79239999999999999</v>
      </c>
      <c r="J1819" s="1">
        <v>0.59970000000000001</v>
      </c>
      <c r="K1819" s="1">
        <v>5.16E-2</v>
      </c>
      <c r="L1819" s="1">
        <v>1.3599999999999999E-2</v>
      </c>
      <c r="M1819" s="1">
        <v>0.1176</v>
      </c>
    </row>
    <row r="1820" spans="1:13" x14ac:dyDescent="0.25">
      <c r="A1820" t="s">
        <v>198</v>
      </c>
      <c r="B1820">
        <v>384</v>
      </c>
      <c r="C1820" t="s">
        <v>200</v>
      </c>
      <c r="D1820">
        <v>2617</v>
      </c>
      <c r="E1820" s="1">
        <v>7.4300000000000005E-2</v>
      </c>
      <c r="F1820" s="1">
        <v>0.1661</v>
      </c>
      <c r="G1820" s="1">
        <v>5.7999999999999996E-3</v>
      </c>
      <c r="H1820" s="1">
        <v>0.32829999999999998</v>
      </c>
      <c r="I1820" s="1">
        <v>0.82530000000000003</v>
      </c>
      <c r="J1820" s="1">
        <v>0.60489999999999999</v>
      </c>
      <c r="K1820" s="1">
        <v>4.8300000000000003E-2</v>
      </c>
      <c r="L1820" s="1">
        <v>8.0000000000000002E-3</v>
      </c>
      <c r="M1820" s="1">
        <v>0.1792</v>
      </c>
    </row>
    <row r="1821" spans="1:13" x14ac:dyDescent="0.25">
      <c r="A1821" t="s">
        <v>198</v>
      </c>
      <c r="B1821">
        <v>254</v>
      </c>
      <c r="C1821" t="s">
        <v>201</v>
      </c>
      <c r="D1821">
        <v>2617</v>
      </c>
      <c r="E1821" s="1">
        <v>3.1199999999999999E-2</v>
      </c>
      <c r="F1821" s="1">
        <v>0.15529999999999999</v>
      </c>
      <c r="G1821" s="1">
        <v>1.1599999999999999E-2</v>
      </c>
      <c r="H1821" s="1">
        <v>0.40250000000000002</v>
      </c>
      <c r="I1821" s="1">
        <v>0.78580000000000005</v>
      </c>
      <c r="J1821" s="1">
        <v>0.58989999999999998</v>
      </c>
      <c r="K1821" s="1">
        <v>5.0099999999999999E-2</v>
      </c>
      <c r="L1821" s="1">
        <v>4.4999999999999997E-3</v>
      </c>
      <c r="M1821" s="1">
        <v>0.14549999999999999</v>
      </c>
    </row>
    <row r="1822" spans="1:13" x14ac:dyDescent="0.25">
      <c r="A1822" t="s">
        <v>198</v>
      </c>
      <c r="B1822">
        <v>95</v>
      </c>
      <c r="C1822" t="s">
        <v>202</v>
      </c>
      <c r="D1822">
        <v>2617</v>
      </c>
      <c r="E1822" s="1">
        <v>4.1799999999999997E-2</v>
      </c>
      <c r="F1822" s="1">
        <v>0.1162</v>
      </c>
      <c r="G1822" s="1">
        <v>2.5999999999999999E-3</v>
      </c>
      <c r="H1822" s="1">
        <v>0.33739999999999998</v>
      </c>
      <c r="I1822" s="1">
        <v>0.73580000000000001</v>
      </c>
      <c r="J1822" s="1">
        <v>0.4209</v>
      </c>
      <c r="K1822" s="1">
        <v>9.5899999999999999E-2</v>
      </c>
      <c r="M1822" s="1">
        <v>0.24329999999999999</v>
      </c>
    </row>
    <row r="1823" spans="1:13" x14ac:dyDescent="0.25">
      <c r="A1823" t="s">
        <v>203</v>
      </c>
      <c r="B1823">
        <v>524</v>
      </c>
      <c r="C1823" t="s">
        <v>199</v>
      </c>
      <c r="D1823">
        <v>2617</v>
      </c>
      <c r="E1823" s="1">
        <v>0.1033</v>
      </c>
      <c r="F1823" s="1">
        <v>0.11360000000000001</v>
      </c>
      <c r="G1823" s="1">
        <v>4.1000000000000003E-3</v>
      </c>
      <c r="H1823" s="1">
        <v>0.34539999999999998</v>
      </c>
      <c r="I1823" s="1">
        <v>0.8821</v>
      </c>
      <c r="J1823" s="1">
        <v>0.7107</v>
      </c>
      <c r="K1823" s="1">
        <v>1.6400000000000001E-2</v>
      </c>
      <c r="M1823" s="1">
        <v>0.33510000000000001</v>
      </c>
    </row>
    <row r="1824" spans="1:13" x14ac:dyDescent="0.25">
      <c r="A1824" t="s">
        <v>203</v>
      </c>
      <c r="B1824">
        <v>502</v>
      </c>
      <c r="C1824" t="s">
        <v>200</v>
      </c>
      <c r="D1824">
        <v>2617</v>
      </c>
      <c r="E1824" s="1">
        <v>0.24349999999999999</v>
      </c>
      <c r="F1824" s="1">
        <v>8.43E-2</v>
      </c>
      <c r="G1824" s="1">
        <v>1.6000000000000001E-3</v>
      </c>
      <c r="H1824" s="1">
        <v>0.4194</v>
      </c>
      <c r="I1824" s="1">
        <v>0.77149999999999996</v>
      </c>
      <c r="J1824" s="1">
        <v>0.74829999999999997</v>
      </c>
      <c r="K1824" s="1">
        <v>2.46E-2</v>
      </c>
      <c r="L1824" s="1">
        <v>6.9999999999999999E-4</v>
      </c>
      <c r="M1824" s="1">
        <v>0.27979999999999999</v>
      </c>
    </row>
    <row r="1825" spans="1:14" x14ac:dyDescent="0.25">
      <c r="A1825" t="s">
        <v>203</v>
      </c>
      <c r="B1825">
        <v>321</v>
      </c>
      <c r="C1825" t="s">
        <v>201</v>
      </c>
      <c r="D1825">
        <v>2617</v>
      </c>
      <c r="E1825" s="1">
        <v>0.11940000000000001</v>
      </c>
      <c r="F1825" s="1">
        <v>9.8000000000000004E-2</v>
      </c>
      <c r="G1825" s="1">
        <v>1.1999999999999999E-3</v>
      </c>
      <c r="H1825" s="1">
        <v>0.34429999999999999</v>
      </c>
      <c r="I1825" s="1">
        <v>0.69210000000000005</v>
      </c>
      <c r="J1825" s="1">
        <v>0.69259999999999999</v>
      </c>
      <c r="K1825" s="1">
        <v>6.13E-2</v>
      </c>
      <c r="L1825" s="1">
        <v>1.1999999999999999E-3</v>
      </c>
      <c r="M1825" s="1">
        <v>0.22869999999999999</v>
      </c>
    </row>
    <row r="1826" spans="1:14" x14ac:dyDescent="0.25">
      <c r="A1826" t="s">
        <v>203</v>
      </c>
      <c r="B1826">
        <v>89</v>
      </c>
      <c r="C1826" t="s">
        <v>202</v>
      </c>
      <c r="D1826">
        <v>2617</v>
      </c>
      <c r="E1826" s="1">
        <v>2.07E-2</v>
      </c>
      <c r="F1826" s="1">
        <v>7.46E-2</v>
      </c>
      <c r="G1826" s="1">
        <v>5.0000000000000001E-3</v>
      </c>
      <c r="H1826" s="1">
        <v>0.41670000000000001</v>
      </c>
      <c r="I1826" s="1">
        <v>0.89570000000000005</v>
      </c>
      <c r="J1826" s="1">
        <v>0.73799999999999999</v>
      </c>
      <c r="K1826" s="1">
        <v>5.0000000000000001E-3</v>
      </c>
      <c r="M1826" s="1">
        <v>0.29670000000000002</v>
      </c>
    </row>
    <row r="1827" spans="1:14" x14ac:dyDescent="0.25">
      <c r="A1827" t="s">
        <v>204</v>
      </c>
      <c r="B1827">
        <v>2617</v>
      </c>
      <c r="C1827" t="s">
        <v>204</v>
      </c>
      <c r="D1827">
        <v>2617</v>
      </c>
      <c r="E1827" s="1">
        <v>0.12</v>
      </c>
      <c r="F1827" s="1">
        <v>0.11219999999999999</v>
      </c>
      <c r="G1827" s="1">
        <v>5.1000000000000004E-3</v>
      </c>
      <c r="H1827" s="1">
        <v>0.35620000000000002</v>
      </c>
      <c r="I1827" s="1">
        <v>0.79749999999999999</v>
      </c>
      <c r="J1827" s="1">
        <v>0.65400000000000003</v>
      </c>
      <c r="K1827" s="1">
        <v>4.0599999999999997E-2</v>
      </c>
      <c r="L1827" s="1">
        <v>3.2000000000000002E-3</v>
      </c>
      <c r="M1827" s="1">
        <v>0.24129999999999999</v>
      </c>
    </row>
    <row r="1829" spans="1:14" x14ac:dyDescent="0.25">
      <c r="A1829" t="s">
        <v>540</v>
      </c>
    </row>
    <row r="1830" spans="1:14" x14ac:dyDescent="0.25">
      <c r="A1830" t="s">
        <v>190</v>
      </c>
      <c r="B1830" t="s">
        <v>206</v>
      </c>
      <c r="C1830" t="s">
        <v>195</v>
      </c>
      <c r="D1830" t="s">
        <v>189</v>
      </c>
      <c r="E1830" t="s">
        <v>196</v>
      </c>
      <c r="F1830" t="s">
        <v>534</v>
      </c>
      <c r="G1830" t="s">
        <v>535</v>
      </c>
      <c r="H1830" t="s">
        <v>388</v>
      </c>
      <c r="I1830" t="s">
        <v>536</v>
      </c>
      <c r="J1830" t="s">
        <v>537</v>
      </c>
      <c r="K1830" t="s">
        <v>538</v>
      </c>
      <c r="L1830" t="s">
        <v>271</v>
      </c>
      <c r="M1830" t="s">
        <v>215</v>
      </c>
      <c r="N1830" t="s">
        <v>539</v>
      </c>
    </row>
    <row r="1831" spans="1:14" x14ac:dyDescent="0.25">
      <c r="A1831" t="s">
        <v>198</v>
      </c>
      <c r="B1831" t="s">
        <v>228</v>
      </c>
      <c r="C1831">
        <v>33</v>
      </c>
      <c r="D1831" t="s">
        <v>197</v>
      </c>
      <c r="E1831">
        <v>2617</v>
      </c>
      <c r="G1831" s="1">
        <v>0.1003</v>
      </c>
      <c r="H1831" s="1">
        <v>4.82E-2</v>
      </c>
      <c r="I1831" s="1">
        <v>0.16239999999999999</v>
      </c>
      <c r="J1831" s="1">
        <v>0.79520000000000002</v>
      </c>
      <c r="K1831" s="1">
        <v>0.4163</v>
      </c>
      <c r="L1831" s="1">
        <v>5.11E-2</v>
      </c>
      <c r="N1831" s="1">
        <v>0.31419999999999998</v>
      </c>
    </row>
    <row r="1832" spans="1:14" x14ac:dyDescent="0.25">
      <c r="A1832" t="s">
        <v>198</v>
      </c>
      <c r="B1832" t="s">
        <v>229</v>
      </c>
      <c r="C1832">
        <v>48</v>
      </c>
      <c r="D1832" t="s">
        <v>197</v>
      </c>
      <c r="E1832">
        <v>2617</v>
      </c>
      <c r="F1832" s="1">
        <v>2.4799999999999999E-2</v>
      </c>
      <c r="G1832" s="1">
        <v>0.1739</v>
      </c>
      <c r="H1832" s="1">
        <v>1.35E-2</v>
      </c>
      <c r="I1832" s="1">
        <v>0.31509999999999999</v>
      </c>
      <c r="J1832" s="1">
        <v>0.83330000000000004</v>
      </c>
      <c r="K1832" s="1">
        <v>0.71240000000000003</v>
      </c>
      <c r="L1832" s="1">
        <v>5.1799999999999999E-2</v>
      </c>
      <c r="N1832" s="1">
        <v>0.22570000000000001</v>
      </c>
    </row>
    <row r="1833" spans="1:14" x14ac:dyDescent="0.25">
      <c r="A1833" t="s">
        <v>198</v>
      </c>
      <c r="B1833" t="s">
        <v>228</v>
      </c>
      <c r="C1833">
        <v>144</v>
      </c>
      <c r="D1833" t="s">
        <v>199</v>
      </c>
      <c r="E1833">
        <v>2617</v>
      </c>
      <c r="F1833" s="1">
        <v>9.2499999999999999E-2</v>
      </c>
      <c r="G1833" s="1">
        <v>0.1336</v>
      </c>
      <c r="H1833" s="1">
        <v>4.4999999999999997E-3</v>
      </c>
      <c r="I1833" s="1">
        <v>0.22639999999999999</v>
      </c>
      <c r="J1833" s="1">
        <v>0.77969999999999995</v>
      </c>
      <c r="K1833" s="1">
        <v>0.54469999999999996</v>
      </c>
      <c r="L1833" s="1">
        <v>2.2700000000000001E-2</v>
      </c>
      <c r="M1833" s="1">
        <v>4.8999999999999998E-3</v>
      </c>
      <c r="N1833" s="1">
        <v>0.24790000000000001</v>
      </c>
    </row>
    <row r="1834" spans="1:14" x14ac:dyDescent="0.25">
      <c r="A1834" t="s">
        <v>198</v>
      </c>
      <c r="B1834" t="s">
        <v>229</v>
      </c>
      <c r="C1834">
        <v>213</v>
      </c>
      <c r="D1834" t="s">
        <v>199</v>
      </c>
      <c r="E1834">
        <v>2617</v>
      </c>
      <c r="F1834" s="1">
        <v>6.1400000000000003E-2</v>
      </c>
      <c r="G1834" s="1">
        <v>0.105</v>
      </c>
      <c r="H1834" s="1">
        <v>2.3999999999999998E-3</v>
      </c>
      <c r="I1834" s="1">
        <v>0.29070000000000001</v>
      </c>
      <c r="J1834" s="1">
        <v>0.79759999999999998</v>
      </c>
      <c r="K1834" s="1">
        <v>0.61980000000000002</v>
      </c>
      <c r="L1834" s="1">
        <v>6.0999999999999999E-2</v>
      </c>
      <c r="M1834" s="1">
        <v>1.67E-2</v>
      </c>
      <c r="N1834" s="1">
        <v>7.1499999999999994E-2</v>
      </c>
    </row>
    <row r="1835" spans="1:14" x14ac:dyDescent="0.25">
      <c r="A1835" t="s">
        <v>198</v>
      </c>
      <c r="B1835" t="s">
        <v>229</v>
      </c>
      <c r="C1835">
        <v>269</v>
      </c>
      <c r="D1835" t="s">
        <v>200</v>
      </c>
      <c r="E1835">
        <v>2617</v>
      </c>
      <c r="F1835" s="1">
        <v>6.8699999999999997E-2</v>
      </c>
      <c r="G1835" s="1">
        <v>0.16239999999999999</v>
      </c>
      <c r="H1835" s="1">
        <v>8.0000000000000004E-4</v>
      </c>
      <c r="I1835" s="1">
        <v>0.35210000000000002</v>
      </c>
      <c r="J1835" s="1">
        <v>0.80810000000000004</v>
      </c>
      <c r="K1835" s="1">
        <v>0.60680000000000001</v>
      </c>
      <c r="L1835" s="1">
        <v>4.7199999999999999E-2</v>
      </c>
      <c r="M1835" s="1">
        <v>9.4000000000000004E-3</v>
      </c>
      <c r="N1835" s="1">
        <v>0.14699999999999999</v>
      </c>
    </row>
    <row r="1836" spans="1:14" x14ac:dyDescent="0.25">
      <c r="A1836" t="s">
        <v>198</v>
      </c>
      <c r="B1836" t="s">
        <v>228</v>
      </c>
      <c r="C1836">
        <v>110</v>
      </c>
      <c r="D1836" t="s">
        <v>200</v>
      </c>
      <c r="E1836">
        <v>2617</v>
      </c>
      <c r="F1836" s="1">
        <v>9.5299999999999996E-2</v>
      </c>
      <c r="G1836" s="1">
        <v>0.1837</v>
      </c>
      <c r="H1836" s="1">
        <v>2.2599999999999999E-2</v>
      </c>
      <c r="I1836" s="1">
        <v>0.24959999999999999</v>
      </c>
      <c r="J1836" s="1">
        <v>0.87709999999999999</v>
      </c>
      <c r="K1836" s="1">
        <v>0.60719999999999996</v>
      </c>
      <c r="L1836" s="1">
        <v>5.3699999999999998E-2</v>
      </c>
      <c r="M1836" s="1">
        <v>3.5000000000000001E-3</v>
      </c>
      <c r="N1836" s="1">
        <v>0.29189999999999999</v>
      </c>
    </row>
    <row r="1837" spans="1:14" x14ac:dyDescent="0.25">
      <c r="A1837" t="s">
        <v>198</v>
      </c>
      <c r="B1837" t="s">
        <v>228</v>
      </c>
      <c r="C1837">
        <v>94</v>
      </c>
      <c r="D1837" t="s">
        <v>201</v>
      </c>
      <c r="E1837">
        <v>2617</v>
      </c>
      <c r="F1837" s="1">
        <v>2.5499999999999998E-2</v>
      </c>
      <c r="G1837" s="1">
        <v>0.1308</v>
      </c>
      <c r="H1837" s="1">
        <v>3.7699999999999997E-2</v>
      </c>
      <c r="I1837" s="1">
        <v>0.24809999999999999</v>
      </c>
      <c r="J1837" s="1">
        <v>0.68410000000000004</v>
      </c>
      <c r="K1837" s="1">
        <v>0.53959999999999997</v>
      </c>
      <c r="L1837" s="1">
        <v>7.0900000000000005E-2</v>
      </c>
      <c r="M1837" s="1">
        <v>2.1000000000000001E-2</v>
      </c>
      <c r="N1837" s="1">
        <v>0.23469999999999999</v>
      </c>
    </row>
    <row r="1838" spans="1:14" x14ac:dyDescent="0.25">
      <c r="A1838" t="s">
        <v>198</v>
      </c>
      <c r="B1838" t="s">
        <v>229</v>
      </c>
      <c r="C1838">
        <v>154</v>
      </c>
      <c r="D1838" t="s">
        <v>201</v>
      </c>
      <c r="E1838">
        <v>2617</v>
      </c>
      <c r="F1838" s="1">
        <v>3.32E-2</v>
      </c>
      <c r="G1838" s="1">
        <v>0.1641</v>
      </c>
      <c r="H1838" s="1">
        <v>4.5999999999999999E-3</v>
      </c>
      <c r="I1838" s="1">
        <v>0.44369999999999998</v>
      </c>
      <c r="J1838" s="1">
        <v>0.81069999999999998</v>
      </c>
      <c r="K1838" s="1">
        <v>0.60499999999999998</v>
      </c>
      <c r="L1838" s="1">
        <v>4.5100000000000001E-2</v>
      </c>
      <c r="N1838" s="1">
        <v>0.123</v>
      </c>
    </row>
    <row r="1839" spans="1:14" s="29" customFormat="1" x14ac:dyDescent="0.25">
      <c r="A1839" s="29" t="s">
        <v>198</v>
      </c>
      <c r="B1839" s="29" t="s">
        <v>228</v>
      </c>
      <c r="C1839" s="29">
        <v>28</v>
      </c>
      <c r="D1839" s="29" t="s">
        <v>202</v>
      </c>
      <c r="E1839" s="29">
        <v>2617</v>
      </c>
      <c r="F1839" s="30">
        <v>6.83E-2</v>
      </c>
      <c r="G1839" s="30">
        <v>6.83E-2</v>
      </c>
      <c r="H1839" s="30">
        <v>1.0699999999999999E-2</v>
      </c>
      <c r="I1839" s="30">
        <v>0.33889999999999998</v>
      </c>
      <c r="J1839" s="30">
        <v>0.67449999999999999</v>
      </c>
      <c r="K1839" s="30">
        <v>0.44740000000000002</v>
      </c>
      <c r="L1839" s="30">
        <v>0.129</v>
      </c>
      <c r="N1839" s="30">
        <v>0.30499999999999999</v>
      </c>
    </row>
    <row r="1840" spans="1:14" x14ac:dyDescent="0.25">
      <c r="A1840" t="s">
        <v>198</v>
      </c>
      <c r="B1840" t="s">
        <v>229</v>
      </c>
      <c r="C1840">
        <v>67</v>
      </c>
      <c r="D1840" t="s">
        <v>202</v>
      </c>
      <c r="E1840">
        <v>2617</v>
      </c>
      <c r="F1840" s="1">
        <v>3.3500000000000002E-2</v>
      </c>
      <c r="G1840" s="1">
        <v>0.13120000000000001</v>
      </c>
      <c r="I1840" s="1">
        <v>0.33689999999999998</v>
      </c>
      <c r="J1840" s="1">
        <v>0.755</v>
      </c>
      <c r="K1840" s="1">
        <v>0.41260000000000002</v>
      </c>
      <c r="L1840" s="1">
        <v>8.5500000000000007E-2</v>
      </c>
      <c r="N1840" s="1">
        <v>0.224</v>
      </c>
    </row>
    <row r="1841" spans="1:14" x14ac:dyDescent="0.25">
      <c r="A1841" t="s">
        <v>203</v>
      </c>
      <c r="B1841" t="s">
        <v>229</v>
      </c>
      <c r="C1841">
        <v>366</v>
      </c>
      <c r="D1841" t="s">
        <v>199</v>
      </c>
      <c r="E1841">
        <v>2617</v>
      </c>
      <c r="F1841" s="1">
        <v>0.1104</v>
      </c>
      <c r="G1841" s="1">
        <v>0.12</v>
      </c>
      <c r="H1841" s="1">
        <v>3.8999999999999998E-3</v>
      </c>
      <c r="I1841" s="1">
        <v>0.35320000000000001</v>
      </c>
      <c r="J1841" s="1">
        <v>0.88449999999999995</v>
      </c>
      <c r="K1841" s="1">
        <v>0.7278</v>
      </c>
      <c r="L1841" s="1">
        <v>1.2E-2</v>
      </c>
      <c r="N1841" s="1">
        <v>0.32279999999999998</v>
      </c>
    </row>
    <row r="1842" spans="1:14" x14ac:dyDescent="0.25">
      <c r="A1842" t="s">
        <v>203</v>
      </c>
      <c r="B1842" t="s">
        <v>228</v>
      </c>
      <c r="C1842">
        <v>148</v>
      </c>
      <c r="D1842" t="s">
        <v>199</v>
      </c>
      <c r="E1842">
        <v>2617</v>
      </c>
      <c r="F1842" s="1">
        <v>4.7199999999999999E-2</v>
      </c>
      <c r="G1842" s="1">
        <v>6.3200000000000006E-2</v>
      </c>
      <c r="H1842" s="1">
        <v>8.9999999999999998E-4</v>
      </c>
      <c r="I1842" s="1">
        <v>0.28920000000000001</v>
      </c>
      <c r="J1842" s="1">
        <v>0.87690000000000001</v>
      </c>
      <c r="K1842" s="1">
        <v>0.58960000000000001</v>
      </c>
      <c r="L1842" s="1">
        <v>4.3499999999999997E-2</v>
      </c>
      <c r="N1842" s="1">
        <v>0.44929999999999998</v>
      </c>
    </row>
    <row r="1843" spans="1:14" x14ac:dyDescent="0.25">
      <c r="A1843" t="s">
        <v>203</v>
      </c>
      <c r="B1843" t="s">
        <v>229</v>
      </c>
      <c r="C1843">
        <v>346</v>
      </c>
      <c r="D1843" t="s">
        <v>200</v>
      </c>
      <c r="E1843">
        <v>2617</v>
      </c>
      <c r="F1843" s="1">
        <v>0.25309999999999999</v>
      </c>
      <c r="G1843" s="1">
        <v>6.4000000000000001E-2</v>
      </c>
      <c r="H1843" s="1">
        <v>1.4E-3</v>
      </c>
      <c r="I1843" s="1">
        <v>0.42730000000000001</v>
      </c>
      <c r="J1843" s="1">
        <v>0.76100000000000001</v>
      </c>
      <c r="K1843" s="1">
        <v>0.74609999999999999</v>
      </c>
      <c r="L1843" s="1">
        <v>2.76E-2</v>
      </c>
      <c r="M1843" s="1">
        <v>8.9999999999999998E-4</v>
      </c>
      <c r="N1843" s="1">
        <v>0.24340000000000001</v>
      </c>
    </row>
    <row r="1844" spans="1:14" x14ac:dyDescent="0.25">
      <c r="A1844" t="s">
        <v>203</v>
      </c>
      <c r="B1844" t="s">
        <v>228</v>
      </c>
      <c r="C1844">
        <v>155</v>
      </c>
      <c r="D1844" t="s">
        <v>200</v>
      </c>
      <c r="E1844">
        <v>2617</v>
      </c>
      <c r="F1844" s="1">
        <v>0.2039</v>
      </c>
      <c r="G1844" s="1">
        <v>0.16800000000000001</v>
      </c>
      <c r="H1844" s="1">
        <v>2.0999999999999999E-3</v>
      </c>
      <c r="I1844" s="1">
        <v>0.38650000000000001</v>
      </c>
      <c r="J1844" s="1">
        <v>0.81469999999999998</v>
      </c>
      <c r="K1844" s="1">
        <v>0.7571</v>
      </c>
      <c r="L1844" s="1">
        <v>1.23E-2</v>
      </c>
      <c r="N1844" s="1">
        <v>0.42959999999999998</v>
      </c>
    </row>
    <row r="1845" spans="1:14" x14ac:dyDescent="0.25">
      <c r="A1845" t="s">
        <v>203</v>
      </c>
      <c r="B1845" t="s">
        <v>229</v>
      </c>
      <c r="C1845">
        <v>137</v>
      </c>
      <c r="D1845" t="s">
        <v>201</v>
      </c>
      <c r="E1845">
        <v>2617</v>
      </c>
      <c r="F1845" s="1">
        <v>0.13109999999999999</v>
      </c>
      <c r="G1845" s="1">
        <v>0.10630000000000001</v>
      </c>
      <c r="I1845" s="1">
        <v>0.38090000000000002</v>
      </c>
      <c r="J1845" s="1">
        <v>0.72609999999999997</v>
      </c>
      <c r="K1845" s="1">
        <v>0.72719999999999996</v>
      </c>
      <c r="L1845" s="1">
        <v>5.8400000000000001E-2</v>
      </c>
      <c r="M1845" s="1">
        <v>1.5E-3</v>
      </c>
      <c r="N1845" s="1">
        <v>0.2412</v>
      </c>
    </row>
    <row r="1846" spans="1:14" x14ac:dyDescent="0.25">
      <c r="A1846" t="s">
        <v>203</v>
      </c>
      <c r="B1846" t="s">
        <v>228</v>
      </c>
      <c r="C1846">
        <v>177</v>
      </c>
      <c r="D1846" t="s">
        <v>201</v>
      </c>
      <c r="E1846">
        <v>2617</v>
      </c>
      <c r="F1846" s="1">
        <v>8.3299999999999999E-2</v>
      </c>
      <c r="G1846" s="1">
        <v>6.7500000000000004E-2</v>
      </c>
      <c r="H1846" s="1">
        <v>4.8999999999999998E-3</v>
      </c>
      <c r="I1846" s="1">
        <v>0.22950000000000001</v>
      </c>
      <c r="J1846" s="1">
        <v>0.58830000000000005</v>
      </c>
      <c r="K1846" s="1">
        <v>0.58860000000000001</v>
      </c>
      <c r="L1846" s="1">
        <v>7.1099999999999997E-2</v>
      </c>
      <c r="N1846" s="1">
        <v>0.18779999999999999</v>
      </c>
    </row>
    <row r="1847" spans="1:14" x14ac:dyDescent="0.25">
      <c r="A1847" t="s">
        <v>203</v>
      </c>
      <c r="B1847" t="s">
        <v>228</v>
      </c>
      <c r="C1847">
        <v>34</v>
      </c>
      <c r="D1847" t="s">
        <v>202</v>
      </c>
      <c r="E1847">
        <v>2617</v>
      </c>
      <c r="F1847" s="1">
        <v>3.6200000000000003E-2</v>
      </c>
      <c r="G1847" s="1">
        <v>7.85E-2</v>
      </c>
      <c r="H1847" s="1">
        <v>1.7500000000000002E-2</v>
      </c>
      <c r="I1847" s="1">
        <v>0.53820000000000001</v>
      </c>
      <c r="J1847" s="1">
        <v>0.77380000000000004</v>
      </c>
      <c r="K1847" s="1">
        <v>0.69569999999999999</v>
      </c>
      <c r="N1847" s="1">
        <v>0.36809999999999998</v>
      </c>
    </row>
    <row r="1848" spans="1:14" x14ac:dyDescent="0.25">
      <c r="A1848" t="s">
        <v>203</v>
      </c>
      <c r="B1848" t="s">
        <v>229</v>
      </c>
      <c r="C1848">
        <v>55</v>
      </c>
      <c r="D1848" t="s">
        <v>202</v>
      </c>
      <c r="E1848">
        <v>2617</v>
      </c>
      <c r="F1848" s="1">
        <v>1.4500000000000001E-2</v>
      </c>
      <c r="G1848" s="1">
        <v>7.2999999999999995E-2</v>
      </c>
      <c r="I1848" s="1">
        <v>0.36809999999999998</v>
      </c>
      <c r="J1848" s="1">
        <v>0.94450000000000001</v>
      </c>
      <c r="K1848" s="1">
        <v>0.755</v>
      </c>
      <c r="L1848" s="1">
        <v>7.0000000000000001E-3</v>
      </c>
      <c r="N1848" s="1">
        <v>0.2681</v>
      </c>
    </row>
    <row r="1849" spans="1:14" x14ac:dyDescent="0.25">
      <c r="A1849" t="s">
        <v>204</v>
      </c>
      <c r="B1849" t="s">
        <v>204</v>
      </c>
      <c r="C1849">
        <v>2617</v>
      </c>
      <c r="D1849" t="s">
        <v>204</v>
      </c>
      <c r="E1849">
        <v>2617</v>
      </c>
      <c r="F1849" s="1">
        <v>0.12</v>
      </c>
      <c r="G1849" s="1">
        <v>0.11219999999999999</v>
      </c>
      <c r="H1849" s="1">
        <v>5.1000000000000004E-3</v>
      </c>
      <c r="I1849" s="1">
        <v>0.35620000000000002</v>
      </c>
      <c r="J1849" s="1">
        <v>0.79749999999999999</v>
      </c>
      <c r="K1849" s="1">
        <v>0.65400000000000003</v>
      </c>
      <c r="L1849" s="1">
        <v>4.0599999999999997E-2</v>
      </c>
      <c r="M1849" s="1">
        <v>3.2000000000000002E-3</v>
      </c>
      <c r="N1849" s="1">
        <v>0.24129999999999999</v>
      </c>
    </row>
    <row r="1851" spans="1:14" x14ac:dyDescent="0.25">
      <c r="A1851" t="s">
        <v>541</v>
      </c>
    </row>
    <row r="1852" spans="1:14" x14ac:dyDescent="0.25">
      <c r="A1852" t="s">
        <v>190</v>
      </c>
      <c r="B1852" t="s">
        <v>206</v>
      </c>
      <c r="C1852" t="s">
        <v>195</v>
      </c>
      <c r="D1852" t="s">
        <v>189</v>
      </c>
      <c r="E1852" t="s">
        <v>196</v>
      </c>
      <c r="F1852" t="s">
        <v>534</v>
      </c>
      <c r="G1852" t="s">
        <v>535</v>
      </c>
      <c r="H1852" t="s">
        <v>388</v>
      </c>
      <c r="I1852" t="s">
        <v>536</v>
      </c>
      <c r="J1852" t="s">
        <v>537</v>
      </c>
      <c r="K1852" t="s">
        <v>538</v>
      </c>
      <c r="L1852" t="s">
        <v>271</v>
      </c>
      <c r="M1852" t="s">
        <v>215</v>
      </c>
      <c r="N1852" t="s">
        <v>539</v>
      </c>
    </row>
    <row r="1853" spans="1:14" x14ac:dyDescent="0.25">
      <c r="A1853" t="s">
        <v>198</v>
      </c>
      <c r="B1853" t="s">
        <v>348</v>
      </c>
      <c r="C1853">
        <v>78</v>
      </c>
      <c r="D1853" t="s">
        <v>197</v>
      </c>
      <c r="E1853">
        <v>2617</v>
      </c>
      <c r="F1853" s="1">
        <v>1.44E-2</v>
      </c>
      <c r="G1853" s="1">
        <v>0.13500000000000001</v>
      </c>
      <c r="H1853" s="1">
        <v>2.9700000000000001E-2</v>
      </c>
      <c r="I1853" s="1">
        <v>0.23369999999999999</v>
      </c>
      <c r="J1853" s="1">
        <v>0.82179999999999997</v>
      </c>
      <c r="K1853" s="1">
        <v>0.57979999999999998</v>
      </c>
      <c r="L1853" s="1">
        <v>4.1700000000000001E-2</v>
      </c>
      <c r="N1853" s="1">
        <v>0.2621</v>
      </c>
    </row>
    <row r="1854" spans="1:14" s="29" customFormat="1" x14ac:dyDescent="0.25">
      <c r="A1854" s="29" t="s">
        <v>198</v>
      </c>
      <c r="B1854" s="29" t="s">
        <v>349</v>
      </c>
      <c r="C1854" s="29">
        <v>3</v>
      </c>
      <c r="D1854" s="29" t="s">
        <v>197</v>
      </c>
      <c r="E1854" s="29">
        <v>2617</v>
      </c>
      <c r="G1854" s="30">
        <v>0.33329999999999999</v>
      </c>
      <c r="I1854" s="30">
        <v>0.66669999999999996</v>
      </c>
      <c r="J1854" s="30">
        <v>0.66669999999999996</v>
      </c>
      <c r="K1854" s="30">
        <v>0.66669999999999996</v>
      </c>
      <c r="L1854" s="30">
        <v>0.33329999999999999</v>
      </c>
      <c r="N1854" s="30">
        <v>0.33329999999999999</v>
      </c>
    </row>
    <row r="1855" spans="1:14" x14ac:dyDescent="0.25">
      <c r="A1855" t="s">
        <v>198</v>
      </c>
      <c r="B1855" t="s">
        <v>348</v>
      </c>
      <c r="C1855">
        <v>54</v>
      </c>
      <c r="D1855" t="s">
        <v>199</v>
      </c>
      <c r="E1855">
        <v>2617</v>
      </c>
      <c r="F1855" s="1">
        <v>4.02E-2</v>
      </c>
      <c r="G1855" s="1">
        <v>3.8E-3</v>
      </c>
      <c r="I1855" s="1">
        <v>0.17430000000000001</v>
      </c>
      <c r="J1855" s="1">
        <v>0.82499999999999996</v>
      </c>
      <c r="K1855" s="1">
        <v>0.60960000000000003</v>
      </c>
      <c r="L1855" s="1">
        <v>7.1400000000000005E-2</v>
      </c>
      <c r="M1855" s="1">
        <v>7.1400000000000005E-2</v>
      </c>
      <c r="N1855" s="1">
        <v>6.3700000000000007E-2</v>
      </c>
    </row>
    <row r="1856" spans="1:14" x14ac:dyDescent="0.25">
      <c r="A1856" t="s">
        <v>198</v>
      </c>
      <c r="B1856" t="s">
        <v>349</v>
      </c>
      <c r="C1856">
        <v>110</v>
      </c>
      <c r="D1856" t="s">
        <v>199</v>
      </c>
      <c r="E1856">
        <v>2617</v>
      </c>
      <c r="F1856" s="1">
        <v>4.48E-2</v>
      </c>
      <c r="G1856" s="1">
        <v>0.13070000000000001</v>
      </c>
      <c r="H1856" s="1">
        <v>6.4999999999999997E-3</v>
      </c>
      <c r="I1856" s="1">
        <v>0.25040000000000001</v>
      </c>
      <c r="J1856" s="1">
        <v>0.74480000000000002</v>
      </c>
      <c r="K1856" s="1">
        <v>0.65749999999999997</v>
      </c>
      <c r="L1856" s="1">
        <v>4.9000000000000002E-2</v>
      </c>
      <c r="N1856" s="1">
        <v>0.10199999999999999</v>
      </c>
    </row>
    <row r="1857" spans="1:14" x14ac:dyDescent="0.25">
      <c r="A1857" t="s">
        <v>198</v>
      </c>
      <c r="B1857" t="s">
        <v>350</v>
      </c>
      <c r="C1857">
        <v>193</v>
      </c>
      <c r="D1857" t="s">
        <v>199</v>
      </c>
      <c r="E1857">
        <v>2617</v>
      </c>
      <c r="F1857" s="1">
        <v>0.10680000000000001</v>
      </c>
      <c r="G1857" s="1">
        <v>0.1293</v>
      </c>
      <c r="I1857" s="1">
        <v>0.33460000000000001</v>
      </c>
      <c r="J1857" s="1">
        <v>0.83550000000000002</v>
      </c>
      <c r="K1857" s="1">
        <v>0.53380000000000005</v>
      </c>
      <c r="L1857" s="1">
        <v>4.65E-2</v>
      </c>
      <c r="M1857" s="1">
        <v>9.1000000000000004E-3</v>
      </c>
      <c r="N1857" s="1">
        <v>0.15190000000000001</v>
      </c>
    </row>
    <row r="1858" spans="1:14" x14ac:dyDescent="0.25">
      <c r="A1858" t="s">
        <v>198</v>
      </c>
      <c r="B1858" t="s">
        <v>350</v>
      </c>
      <c r="C1858">
        <v>78</v>
      </c>
      <c r="D1858" t="s">
        <v>200</v>
      </c>
      <c r="E1858">
        <v>2617</v>
      </c>
      <c r="G1858" s="1">
        <v>0.1845</v>
      </c>
      <c r="H1858" s="1">
        <v>2.1600000000000001E-2</v>
      </c>
      <c r="I1858" s="1">
        <v>0.34079999999999999</v>
      </c>
      <c r="J1858" s="1">
        <v>0.81010000000000004</v>
      </c>
      <c r="K1858" s="1">
        <v>0.43930000000000002</v>
      </c>
      <c r="L1858" s="1">
        <v>1.41E-2</v>
      </c>
      <c r="N1858" s="1">
        <v>0.2697</v>
      </c>
    </row>
    <row r="1859" spans="1:14" x14ac:dyDescent="0.25">
      <c r="A1859" t="s">
        <v>198</v>
      </c>
      <c r="B1859" t="s">
        <v>348</v>
      </c>
      <c r="C1859">
        <v>239</v>
      </c>
      <c r="D1859" t="s">
        <v>200</v>
      </c>
      <c r="E1859">
        <v>2617</v>
      </c>
      <c r="F1859" s="1">
        <v>8.4699999999999998E-2</v>
      </c>
      <c r="G1859" s="1">
        <v>0.16600000000000001</v>
      </c>
      <c r="I1859" s="1">
        <v>0.32190000000000002</v>
      </c>
      <c r="J1859" s="1">
        <v>0.82389999999999997</v>
      </c>
      <c r="K1859" s="1">
        <v>0.61429999999999996</v>
      </c>
      <c r="L1859" s="1">
        <v>5.2200000000000003E-2</v>
      </c>
      <c r="M1859" s="1">
        <v>7.4000000000000003E-3</v>
      </c>
      <c r="N1859" s="1">
        <v>0.1666</v>
      </c>
    </row>
    <row r="1860" spans="1:14" x14ac:dyDescent="0.25">
      <c r="A1860" t="s">
        <v>198</v>
      </c>
      <c r="B1860" t="s">
        <v>349</v>
      </c>
      <c r="C1860">
        <v>62</v>
      </c>
      <c r="D1860" t="s">
        <v>200</v>
      </c>
      <c r="E1860">
        <v>2617</v>
      </c>
      <c r="F1860" s="1">
        <v>2.0500000000000001E-2</v>
      </c>
      <c r="G1860" s="1">
        <v>0.16639999999999999</v>
      </c>
      <c r="H1860" s="1">
        <v>7.3700000000000002E-2</v>
      </c>
      <c r="I1860" s="1">
        <v>0.40899999999999997</v>
      </c>
      <c r="J1860" s="1">
        <v>0.84470000000000001</v>
      </c>
      <c r="K1860" s="1">
        <v>0.70230000000000004</v>
      </c>
      <c r="L1860" s="1">
        <v>3.85E-2</v>
      </c>
      <c r="M1860" s="1">
        <v>2.76E-2</v>
      </c>
      <c r="N1860" s="1">
        <v>0.2777</v>
      </c>
    </row>
    <row r="1861" spans="1:14" x14ac:dyDescent="0.25">
      <c r="A1861" t="s">
        <v>198</v>
      </c>
      <c r="B1861" t="s">
        <v>349</v>
      </c>
      <c r="C1861">
        <v>125</v>
      </c>
      <c r="D1861" t="s">
        <v>201</v>
      </c>
      <c r="E1861">
        <v>2617</v>
      </c>
      <c r="F1861" s="1">
        <v>3.2399999999999998E-2</v>
      </c>
      <c r="G1861" s="1">
        <v>0.1724</v>
      </c>
      <c r="H1861" s="1">
        <v>5.1999999999999998E-3</v>
      </c>
      <c r="I1861" s="1">
        <v>0.44140000000000001</v>
      </c>
      <c r="J1861" s="1">
        <v>0.78520000000000001</v>
      </c>
      <c r="K1861" s="1">
        <v>0.63839999999999997</v>
      </c>
      <c r="L1861" s="1">
        <v>3.9800000000000002E-2</v>
      </c>
      <c r="N1861" s="1">
        <v>0.112</v>
      </c>
    </row>
    <row r="1862" spans="1:14" x14ac:dyDescent="0.25">
      <c r="A1862" t="s">
        <v>198</v>
      </c>
      <c r="B1862" t="s">
        <v>350</v>
      </c>
      <c r="C1862">
        <v>61</v>
      </c>
      <c r="D1862" t="s">
        <v>201</v>
      </c>
      <c r="E1862">
        <v>2617</v>
      </c>
      <c r="F1862" s="1">
        <v>2.92E-2</v>
      </c>
      <c r="G1862" s="1">
        <v>0.21149999999999999</v>
      </c>
      <c r="I1862" s="1">
        <v>0.1101</v>
      </c>
      <c r="J1862" s="1">
        <v>0.76129999999999998</v>
      </c>
      <c r="K1862" s="1">
        <v>0.39579999999999999</v>
      </c>
      <c r="L1862" s="1">
        <v>8.14E-2</v>
      </c>
      <c r="N1862" s="1">
        <v>0.24199999999999999</v>
      </c>
    </row>
    <row r="1863" spans="1:14" x14ac:dyDescent="0.25">
      <c r="A1863" t="s">
        <v>198</v>
      </c>
      <c r="B1863" t="s">
        <v>348</v>
      </c>
      <c r="C1863">
        <v>62</v>
      </c>
      <c r="D1863" t="s">
        <v>201</v>
      </c>
      <c r="E1863">
        <v>2617</v>
      </c>
      <c r="F1863" s="1">
        <v>2.98E-2</v>
      </c>
      <c r="G1863" s="1">
        <v>0.10630000000000001</v>
      </c>
      <c r="H1863" s="1">
        <v>3.1099999999999999E-2</v>
      </c>
      <c r="I1863" s="1">
        <v>0.34610000000000002</v>
      </c>
      <c r="J1863" s="1">
        <v>0.78269999999999995</v>
      </c>
      <c r="K1863" s="1">
        <v>0.4985</v>
      </c>
      <c r="L1863" s="1">
        <v>7.4399999999999994E-2</v>
      </c>
      <c r="M1863" s="1">
        <v>1.7399999999999999E-2</v>
      </c>
      <c r="N1863" s="1">
        <v>0.224</v>
      </c>
    </row>
    <row r="1864" spans="1:14" x14ac:dyDescent="0.25">
      <c r="A1864" t="s">
        <v>198</v>
      </c>
      <c r="B1864" t="s">
        <v>348</v>
      </c>
      <c r="C1864">
        <v>95</v>
      </c>
      <c r="D1864" t="s">
        <v>202</v>
      </c>
      <c r="E1864">
        <v>2617</v>
      </c>
      <c r="F1864" s="1">
        <v>4.1799999999999997E-2</v>
      </c>
      <c r="G1864" s="1">
        <v>0.1162</v>
      </c>
      <c r="H1864" s="1">
        <v>2.5999999999999999E-3</v>
      </c>
      <c r="I1864" s="1">
        <v>0.33739999999999998</v>
      </c>
      <c r="J1864" s="1">
        <v>0.73580000000000001</v>
      </c>
      <c r="K1864" s="1">
        <v>0.4209</v>
      </c>
      <c r="L1864" s="1">
        <v>9.5899999999999999E-2</v>
      </c>
      <c r="N1864" s="1">
        <v>0.24329999999999999</v>
      </c>
    </row>
    <row r="1865" spans="1:14" x14ac:dyDescent="0.25">
      <c r="A1865" t="s">
        <v>203</v>
      </c>
      <c r="B1865" t="s">
        <v>349</v>
      </c>
      <c r="C1865">
        <v>170</v>
      </c>
      <c r="D1865" t="s">
        <v>199</v>
      </c>
      <c r="E1865">
        <v>2617</v>
      </c>
      <c r="F1865" s="1">
        <v>6.1100000000000002E-2</v>
      </c>
      <c r="G1865" s="1">
        <v>4.1500000000000002E-2</v>
      </c>
      <c r="H1865" s="1">
        <v>6.0000000000000001E-3</v>
      </c>
      <c r="I1865" s="1">
        <v>0.37880000000000003</v>
      </c>
      <c r="J1865" s="1">
        <v>0.86240000000000006</v>
      </c>
      <c r="K1865" s="1">
        <v>0.72740000000000005</v>
      </c>
      <c r="L1865" s="1">
        <v>2.6599999999999999E-2</v>
      </c>
      <c r="N1865" s="1">
        <v>0.42649999999999999</v>
      </c>
    </row>
    <row r="1866" spans="1:14" x14ac:dyDescent="0.25">
      <c r="A1866" t="s">
        <v>203</v>
      </c>
      <c r="B1866" t="s">
        <v>348</v>
      </c>
      <c r="C1866">
        <v>42</v>
      </c>
      <c r="D1866" t="s">
        <v>199</v>
      </c>
      <c r="E1866">
        <v>2617</v>
      </c>
      <c r="F1866" s="1">
        <v>2.9899999999999999E-2</v>
      </c>
      <c r="G1866" s="1">
        <v>0.25629999999999997</v>
      </c>
      <c r="I1866" s="1">
        <v>0.23369999999999999</v>
      </c>
      <c r="J1866" s="1">
        <v>0.87260000000000004</v>
      </c>
      <c r="K1866" s="1">
        <v>0.50619999999999998</v>
      </c>
      <c r="L1866" s="1">
        <v>5.1000000000000004E-3</v>
      </c>
      <c r="N1866" s="1">
        <v>0.1484</v>
      </c>
    </row>
    <row r="1867" spans="1:14" x14ac:dyDescent="0.25">
      <c r="A1867" t="s">
        <v>203</v>
      </c>
      <c r="B1867" t="s">
        <v>350</v>
      </c>
      <c r="C1867">
        <v>302</v>
      </c>
      <c r="D1867" t="s">
        <v>199</v>
      </c>
      <c r="E1867">
        <v>2617</v>
      </c>
      <c r="F1867" s="1">
        <v>0.1305</v>
      </c>
      <c r="G1867" s="1">
        <v>0.1419</v>
      </c>
      <c r="H1867" s="1">
        <v>2.5999999999999999E-3</v>
      </c>
      <c r="I1867" s="1">
        <v>0.33739999999999998</v>
      </c>
      <c r="J1867" s="1">
        <v>0.89539999999999997</v>
      </c>
      <c r="K1867" s="1">
        <v>0.71989999999999998</v>
      </c>
      <c r="L1867" s="1">
        <v>1.0200000000000001E-2</v>
      </c>
      <c r="N1867" s="1">
        <v>0.30209999999999998</v>
      </c>
    </row>
    <row r="1868" spans="1:14" x14ac:dyDescent="0.25">
      <c r="A1868" t="s">
        <v>203</v>
      </c>
      <c r="B1868" t="s">
        <v>348</v>
      </c>
      <c r="C1868">
        <v>299</v>
      </c>
      <c r="D1868" t="s">
        <v>200</v>
      </c>
      <c r="E1868">
        <v>2617</v>
      </c>
      <c r="F1868" s="1">
        <v>0.25090000000000001</v>
      </c>
      <c r="G1868" s="1">
        <v>8.3599999999999994E-2</v>
      </c>
      <c r="H1868" s="1">
        <v>5.0000000000000001E-4</v>
      </c>
      <c r="I1868" s="1">
        <v>0.41970000000000002</v>
      </c>
      <c r="J1868" s="1">
        <v>0.75229999999999997</v>
      </c>
      <c r="K1868" s="1">
        <v>0.75360000000000005</v>
      </c>
      <c r="L1868" s="1">
        <v>2.7799999999999998E-2</v>
      </c>
      <c r="M1868" s="1">
        <v>8.0000000000000004E-4</v>
      </c>
      <c r="N1868" s="1">
        <v>0.2828</v>
      </c>
    </row>
    <row r="1869" spans="1:14" x14ac:dyDescent="0.25">
      <c r="A1869" t="s">
        <v>203</v>
      </c>
      <c r="B1869" t="s">
        <v>349</v>
      </c>
      <c r="C1869">
        <v>108</v>
      </c>
      <c r="D1869" t="s">
        <v>200</v>
      </c>
      <c r="E1869">
        <v>2617</v>
      </c>
      <c r="F1869" s="1">
        <v>0.2291</v>
      </c>
      <c r="G1869" s="1">
        <v>7.6899999999999996E-2</v>
      </c>
      <c r="H1869" s="1">
        <v>1.4E-3</v>
      </c>
      <c r="I1869" s="1">
        <v>0.3488</v>
      </c>
      <c r="J1869" s="1">
        <v>0.94910000000000005</v>
      </c>
      <c r="K1869" s="1">
        <v>0.74950000000000006</v>
      </c>
      <c r="N1869" s="1">
        <v>0.26029999999999998</v>
      </c>
    </row>
    <row r="1870" spans="1:14" x14ac:dyDescent="0.25">
      <c r="A1870" t="s">
        <v>203</v>
      </c>
      <c r="B1870" t="s">
        <v>350</v>
      </c>
      <c r="C1870">
        <v>94</v>
      </c>
      <c r="D1870" t="s">
        <v>200</v>
      </c>
      <c r="E1870">
        <v>2617</v>
      </c>
      <c r="F1870" s="1">
        <v>8.4400000000000003E-2</v>
      </c>
      <c r="G1870" s="1">
        <v>0.121</v>
      </c>
      <c r="H1870" s="1">
        <v>3.09E-2</v>
      </c>
      <c r="I1870" s="1">
        <v>0.57740000000000002</v>
      </c>
      <c r="J1870" s="1">
        <v>0.85050000000000003</v>
      </c>
      <c r="K1870" s="1">
        <v>0.60550000000000004</v>
      </c>
      <c r="N1870" s="1">
        <v>0.2457</v>
      </c>
    </row>
    <row r="1871" spans="1:14" x14ac:dyDescent="0.25">
      <c r="A1871" t="s">
        <v>203</v>
      </c>
      <c r="B1871" t="s">
        <v>348</v>
      </c>
      <c r="C1871">
        <v>62</v>
      </c>
      <c r="D1871" t="s">
        <v>201</v>
      </c>
      <c r="E1871">
        <v>2617</v>
      </c>
      <c r="F1871" s="1">
        <v>3.8100000000000002E-2</v>
      </c>
      <c r="G1871" s="1">
        <v>3.9800000000000002E-2</v>
      </c>
      <c r="I1871" s="1">
        <v>0.23280000000000001</v>
      </c>
      <c r="J1871" s="1">
        <v>0.68240000000000001</v>
      </c>
      <c r="K1871" s="1">
        <v>0.50829999999999997</v>
      </c>
      <c r="L1871" s="1">
        <v>0.16500000000000001</v>
      </c>
      <c r="N1871" s="1">
        <v>0.249</v>
      </c>
    </row>
    <row r="1872" spans="1:14" x14ac:dyDescent="0.25">
      <c r="A1872" t="s">
        <v>203</v>
      </c>
      <c r="B1872" t="s">
        <v>349</v>
      </c>
      <c r="C1872">
        <v>147</v>
      </c>
      <c r="D1872" t="s">
        <v>201</v>
      </c>
      <c r="E1872">
        <v>2617</v>
      </c>
      <c r="F1872" s="1">
        <v>0.13669999999999999</v>
      </c>
      <c r="G1872" s="1">
        <v>0.1016</v>
      </c>
      <c r="I1872" s="1">
        <v>0.37280000000000002</v>
      </c>
      <c r="J1872" s="1">
        <v>0.69450000000000001</v>
      </c>
      <c r="K1872" s="1">
        <v>0.75109999999999999</v>
      </c>
      <c r="L1872" s="1">
        <v>4.1000000000000002E-2</v>
      </c>
      <c r="N1872" s="1">
        <v>0.2198</v>
      </c>
    </row>
    <row r="1873" spans="1:27" x14ac:dyDescent="0.25">
      <c r="A1873" t="s">
        <v>203</v>
      </c>
      <c r="B1873" t="s">
        <v>350</v>
      </c>
      <c r="C1873">
        <v>105</v>
      </c>
      <c r="D1873" t="s">
        <v>201</v>
      </c>
      <c r="E1873">
        <v>2617</v>
      </c>
      <c r="F1873" s="1">
        <v>5.0700000000000002E-2</v>
      </c>
      <c r="G1873" s="1">
        <v>0.13289999999999999</v>
      </c>
      <c r="H1873" s="1">
        <v>1.6199999999999999E-2</v>
      </c>
      <c r="I1873" s="1">
        <v>0.19539999999999999</v>
      </c>
      <c r="J1873" s="1">
        <v>0.69379999999999997</v>
      </c>
      <c r="K1873" s="1">
        <v>0.32850000000000001</v>
      </c>
      <c r="L1873" s="1">
        <v>0.13539999999999999</v>
      </c>
      <c r="M1873" s="1">
        <v>1.6199999999999999E-2</v>
      </c>
      <c r="N1873" s="1">
        <v>0.29530000000000001</v>
      </c>
    </row>
    <row r="1874" spans="1:27" x14ac:dyDescent="0.25">
      <c r="A1874" t="s">
        <v>203</v>
      </c>
      <c r="B1874" t="s">
        <v>348</v>
      </c>
      <c r="C1874">
        <v>89</v>
      </c>
      <c r="D1874" t="s">
        <v>202</v>
      </c>
      <c r="E1874">
        <v>2617</v>
      </c>
      <c r="F1874" s="1">
        <v>2.07E-2</v>
      </c>
      <c r="G1874" s="1">
        <v>7.46E-2</v>
      </c>
      <c r="H1874" s="1">
        <v>5.0000000000000001E-3</v>
      </c>
      <c r="I1874" s="1">
        <v>0.41670000000000001</v>
      </c>
      <c r="J1874" s="1">
        <v>0.89570000000000005</v>
      </c>
      <c r="K1874" s="1">
        <v>0.73799999999999999</v>
      </c>
      <c r="L1874" s="1">
        <v>5.0000000000000001E-3</v>
      </c>
      <c r="N1874" s="1">
        <v>0.29670000000000002</v>
      </c>
    </row>
    <row r="1875" spans="1:27" x14ac:dyDescent="0.25">
      <c r="A1875" t="s">
        <v>204</v>
      </c>
      <c r="B1875" t="s">
        <v>204</v>
      </c>
      <c r="C1875">
        <v>2617</v>
      </c>
      <c r="D1875" t="s">
        <v>204</v>
      </c>
      <c r="E1875">
        <v>2617</v>
      </c>
      <c r="F1875" s="1">
        <v>0.12</v>
      </c>
      <c r="G1875" s="1">
        <v>0.11219999999999999</v>
      </c>
      <c r="H1875" s="1">
        <v>5.1000000000000004E-3</v>
      </c>
      <c r="I1875" s="1">
        <v>0.35620000000000002</v>
      </c>
      <c r="J1875" s="1">
        <v>0.79749999999999999</v>
      </c>
      <c r="K1875" s="1">
        <v>0.65400000000000003</v>
      </c>
      <c r="L1875" s="1">
        <v>4.0599999999999997E-2</v>
      </c>
      <c r="M1875" s="1">
        <v>3.2000000000000002E-3</v>
      </c>
      <c r="N1875" s="1">
        <v>0.24129999999999999</v>
      </c>
    </row>
    <row r="1877" spans="1:27" x14ac:dyDescent="0.25">
      <c r="A1877" t="s">
        <v>542</v>
      </c>
    </row>
    <row r="1878" spans="1:27" x14ac:dyDescent="0.25">
      <c r="A1878" t="s">
        <v>189</v>
      </c>
      <c r="B1878" t="s">
        <v>190</v>
      </c>
      <c r="C1878" t="s">
        <v>543</v>
      </c>
      <c r="D1878" t="s">
        <v>544</v>
      </c>
      <c r="E1878" t="s">
        <v>545</v>
      </c>
      <c r="F1878" t="s">
        <v>546</v>
      </c>
      <c r="G1878" t="s">
        <v>547</v>
      </c>
      <c r="H1878" t="s">
        <v>548</v>
      </c>
      <c r="I1878" t="s">
        <v>549</v>
      </c>
      <c r="J1878" t="s">
        <v>550</v>
      </c>
      <c r="K1878" t="s">
        <v>551</v>
      </c>
      <c r="L1878" t="s">
        <v>552</v>
      </c>
      <c r="M1878" t="s">
        <v>553</v>
      </c>
      <c r="N1878" t="s">
        <v>554</v>
      </c>
      <c r="O1878" t="s">
        <v>555</v>
      </c>
      <c r="P1878" t="s">
        <v>556</v>
      </c>
      <c r="Q1878" t="s">
        <v>557</v>
      </c>
      <c r="R1878" t="s">
        <v>558</v>
      </c>
      <c r="S1878" t="s">
        <v>559</v>
      </c>
      <c r="T1878" t="s">
        <v>560</v>
      </c>
      <c r="U1878" t="s">
        <v>561</v>
      </c>
      <c r="V1878" t="s">
        <v>562</v>
      </c>
      <c r="W1878" t="s">
        <v>563</v>
      </c>
      <c r="X1878" t="s">
        <v>564</v>
      </c>
      <c r="Y1878" t="s">
        <v>565</v>
      </c>
      <c r="Z1878" t="s">
        <v>566</v>
      </c>
      <c r="AA1878" t="s">
        <v>196</v>
      </c>
    </row>
    <row r="1879" spans="1:27" x14ac:dyDescent="0.25">
      <c r="A1879" t="s">
        <v>197</v>
      </c>
      <c r="B1879" t="s">
        <v>198</v>
      </c>
      <c r="C1879">
        <v>19457.89679025537</v>
      </c>
      <c r="D1879">
        <v>5000</v>
      </c>
      <c r="E1879">
        <v>300</v>
      </c>
      <c r="F1879">
        <v>150000</v>
      </c>
      <c r="G1879">
        <v>5860.6046201922036</v>
      </c>
      <c r="H1879">
        <v>4000</v>
      </c>
      <c r="I1879">
        <v>400</v>
      </c>
      <c r="J1879">
        <v>25000</v>
      </c>
      <c r="K1879">
        <v>14652.003327974549</v>
      </c>
      <c r="L1879">
        <v>6000</v>
      </c>
      <c r="M1879">
        <v>600</v>
      </c>
      <c r="N1879">
        <v>200000</v>
      </c>
      <c r="O1879">
        <v>4678.9325620207428</v>
      </c>
      <c r="P1879">
        <v>3000</v>
      </c>
      <c r="Q1879">
        <v>200</v>
      </c>
      <c r="R1879">
        <v>16200</v>
      </c>
      <c r="S1879">
        <v>323573.2830140107</v>
      </c>
      <c r="T1879">
        <v>9000</v>
      </c>
      <c r="U1879">
        <v>4000</v>
      </c>
      <c r="V1879">
        <v>2000100</v>
      </c>
      <c r="W1879">
        <v>2500</v>
      </c>
      <c r="X1879">
        <v>2500</v>
      </c>
      <c r="Y1879">
        <v>2500</v>
      </c>
      <c r="Z1879">
        <v>2500</v>
      </c>
      <c r="AA1879">
        <v>567</v>
      </c>
    </row>
    <row r="1880" spans="1:27" x14ac:dyDescent="0.25">
      <c r="A1880" t="s">
        <v>199</v>
      </c>
      <c r="B1880" t="s">
        <v>198</v>
      </c>
      <c r="C1880">
        <v>12834.03369303756</v>
      </c>
      <c r="D1880">
        <v>5000</v>
      </c>
      <c r="E1880">
        <v>300</v>
      </c>
      <c r="F1880">
        <v>100000</v>
      </c>
      <c r="G1880">
        <v>6785.97032074249</v>
      </c>
      <c r="H1880">
        <v>5000</v>
      </c>
      <c r="I1880">
        <v>300</v>
      </c>
      <c r="J1880">
        <v>30000</v>
      </c>
      <c r="K1880">
        <v>8496.9872756542463</v>
      </c>
      <c r="L1880">
        <v>5000</v>
      </c>
      <c r="M1880">
        <v>300</v>
      </c>
      <c r="N1880">
        <v>150000</v>
      </c>
      <c r="O1880">
        <v>8408.3129648171671</v>
      </c>
      <c r="P1880">
        <v>4800</v>
      </c>
      <c r="Q1880">
        <v>300</v>
      </c>
      <c r="R1880">
        <v>35000</v>
      </c>
      <c r="S1880">
        <v>8956.3542308627002</v>
      </c>
      <c r="T1880">
        <v>7000</v>
      </c>
      <c r="U1880">
        <v>1000</v>
      </c>
      <c r="V1880">
        <v>60000</v>
      </c>
      <c r="W1880">
        <v>5529.3803838293452</v>
      </c>
      <c r="X1880">
        <v>4000</v>
      </c>
      <c r="Y1880">
        <v>400</v>
      </c>
      <c r="Z1880">
        <v>100000</v>
      </c>
      <c r="AA1880">
        <v>567</v>
      </c>
    </row>
    <row r="1881" spans="1:27" x14ac:dyDescent="0.25">
      <c r="A1881" t="s">
        <v>200</v>
      </c>
      <c r="B1881" t="s">
        <v>198</v>
      </c>
      <c r="C1881">
        <v>21296.335071058122</v>
      </c>
      <c r="D1881">
        <v>5000</v>
      </c>
      <c r="E1881">
        <v>350</v>
      </c>
      <c r="F1881">
        <v>200000</v>
      </c>
      <c r="G1881">
        <v>12579.059002078729</v>
      </c>
      <c r="H1881">
        <v>7000</v>
      </c>
      <c r="I1881">
        <v>300</v>
      </c>
      <c r="J1881">
        <v>100000</v>
      </c>
      <c r="K1881">
        <v>14427.86402436481</v>
      </c>
      <c r="L1881">
        <v>6000</v>
      </c>
      <c r="M1881">
        <v>100</v>
      </c>
      <c r="N1881">
        <v>300000</v>
      </c>
      <c r="O1881">
        <v>9989.9697961762522</v>
      </c>
      <c r="P1881">
        <v>4200</v>
      </c>
      <c r="Q1881">
        <v>250</v>
      </c>
      <c r="R1881">
        <v>100000</v>
      </c>
      <c r="S1881">
        <v>21480.270394706429</v>
      </c>
      <c r="T1881">
        <v>10000</v>
      </c>
      <c r="U1881">
        <v>250</v>
      </c>
      <c r="V1881">
        <v>240000</v>
      </c>
      <c r="W1881">
        <v>31886.810265621651</v>
      </c>
      <c r="X1881">
        <v>15000</v>
      </c>
      <c r="Y1881">
        <v>1000</v>
      </c>
      <c r="Z1881">
        <v>240000</v>
      </c>
      <c r="AA1881">
        <v>567</v>
      </c>
    </row>
    <row r="1882" spans="1:27" x14ac:dyDescent="0.25">
      <c r="A1882" t="s">
        <v>201</v>
      </c>
      <c r="B1882" t="s">
        <v>198</v>
      </c>
      <c r="C1882">
        <v>16110.40586959621</v>
      </c>
      <c r="D1882">
        <v>8000</v>
      </c>
      <c r="E1882">
        <v>250</v>
      </c>
      <c r="F1882">
        <v>200000</v>
      </c>
      <c r="G1882">
        <v>8029.4924309584158</v>
      </c>
      <c r="H1882">
        <v>5000</v>
      </c>
      <c r="I1882">
        <v>300</v>
      </c>
      <c r="J1882">
        <v>60000</v>
      </c>
      <c r="K1882">
        <v>11077.31170247008</v>
      </c>
      <c r="L1882">
        <v>6000</v>
      </c>
      <c r="M1882">
        <v>100</v>
      </c>
      <c r="N1882">
        <v>320000</v>
      </c>
      <c r="O1882">
        <v>7686.9063132829069</v>
      </c>
      <c r="P1882">
        <v>4000</v>
      </c>
      <c r="Q1882">
        <v>200</v>
      </c>
      <c r="R1882">
        <v>48000</v>
      </c>
      <c r="S1882">
        <v>8138.7476769818459</v>
      </c>
      <c r="T1882">
        <v>6000</v>
      </c>
      <c r="U1882">
        <v>2000</v>
      </c>
      <c r="V1882">
        <v>35000</v>
      </c>
      <c r="W1882">
        <v>6397.1962465378192</v>
      </c>
      <c r="X1882">
        <v>4800</v>
      </c>
      <c r="Y1882">
        <v>2000</v>
      </c>
      <c r="Z1882">
        <v>30000</v>
      </c>
      <c r="AA1882">
        <v>567</v>
      </c>
    </row>
    <row r="1883" spans="1:27" x14ac:dyDescent="0.25">
      <c r="A1883" t="s">
        <v>202</v>
      </c>
      <c r="B1883" t="s">
        <v>198</v>
      </c>
      <c r="C1883">
        <v>9135.0525815441124</v>
      </c>
      <c r="D1883">
        <v>5000</v>
      </c>
      <c r="E1883">
        <v>500</v>
      </c>
      <c r="F1883">
        <v>100000</v>
      </c>
      <c r="G1883">
        <v>5879.7393762488746</v>
      </c>
      <c r="H1883">
        <v>5000</v>
      </c>
      <c r="I1883">
        <v>250</v>
      </c>
      <c r="J1883">
        <v>20000</v>
      </c>
      <c r="K1883">
        <v>12639.906422362321</v>
      </c>
      <c r="L1883">
        <v>6000</v>
      </c>
      <c r="M1883">
        <v>500</v>
      </c>
      <c r="N1883">
        <v>250000</v>
      </c>
      <c r="O1883">
        <v>6419.0300111099923</v>
      </c>
      <c r="P1883">
        <v>5000</v>
      </c>
      <c r="Q1883">
        <v>100</v>
      </c>
      <c r="R1883">
        <v>40000</v>
      </c>
      <c r="S1883">
        <v>18232.780620730849</v>
      </c>
      <c r="T1883">
        <v>33000</v>
      </c>
      <c r="U1883">
        <v>6000</v>
      </c>
      <c r="V1883">
        <v>33000</v>
      </c>
      <c r="W1883">
        <v>4000.313437846823</v>
      </c>
      <c r="X1883">
        <v>800</v>
      </c>
      <c r="Y1883">
        <v>800</v>
      </c>
      <c r="Z1883">
        <v>9000</v>
      </c>
      <c r="AA1883">
        <v>567</v>
      </c>
    </row>
    <row r="1884" spans="1:27" x14ac:dyDescent="0.25">
      <c r="A1884" t="s">
        <v>199</v>
      </c>
      <c r="B1884" t="s">
        <v>203</v>
      </c>
      <c r="C1884">
        <v>10434.128784947639</v>
      </c>
      <c r="D1884">
        <v>6000</v>
      </c>
      <c r="E1884">
        <v>200</v>
      </c>
      <c r="F1884">
        <v>200000</v>
      </c>
      <c r="G1884">
        <v>10523.81024696122</v>
      </c>
      <c r="H1884">
        <v>7000</v>
      </c>
      <c r="I1884">
        <v>300</v>
      </c>
      <c r="J1884">
        <v>90000</v>
      </c>
      <c r="K1884">
        <v>11363.94836665671</v>
      </c>
      <c r="L1884">
        <v>4000</v>
      </c>
      <c r="M1884">
        <v>200</v>
      </c>
      <c r="N1884">
        <v>350000</v>
      </c>
      <c r="O1884">
        <v>11866.117735685921</v>
      </c>
      <c r="P1884">
        <v>5000</v>
      </c>
      <c r="Q1884">
        <v>400</v>
      </c>
      <c r="R1884">
        <v>120000</v>
      </c>
      <c r="S1884">
        <v>19719.24654519308</v>
      </c>
      <c r="T1884">
        <v>6000</v>
      </c>
      <c r="U1884">
        <v>500</v>
      </c>
      <c r="V1884">
        <v>100000</v>
      </c>
      <c r="W1884">
        <v>13980.288454246789</v>
      </c>
      <c r="X1884">
        <v>7000</v>
      </c>
      <c r="Y1884">
        <v>600</v>
      </c>
      <c r="Z1884">
        <v>123000</v>
      </c>
      <c r="AA1884">
        <v>567</v>
      </c>
    </row>
    <row r="1885" spans="1:27" x14ac:dyDescent="0.25">
      <c r="A1885" t="s">
        <v>200</v>
      </c>
      <c r="B1885" t="s">
        <v>203</v>
      </c>
      <c r="C1885">
        <v>18160.117211565721</v>
      </c>
      <c r="D1885">
        <v>10000</v>
      </c>
      <c r="E1885">
        <v>300</v>
      </c>
      <c r="F1885">
        <v>300000</v>
      </c>
      <c r="G1885">
        <v>11738.77972567854</v>
      </c>
      <c r="H1885">
        <v>8000</v>
      </c>
      <c r="I1885">
        <v>250</v>
      </c>
      <c r="J1885">
        <v>200000</v>
      </c>
      <c r="K1885">
        <v>18577.58163489548</v>
      </c>
      <c r="L1885">
        <v>6000</v>
      </c>
      <c r="M1885">
        <v>100</v>
      </c>
      <c r="N1885">
        <v>500000</v>
      </c>
      <c r="O1885">
        <v>11179.56856798779</v>
      </c>
      <c r="P1885">
        <v>6000</v>
      </c>
      <c r="Q1885">
        <v>100</v>
      </c>
      <c r="R1885">
        <v>360000</v>
      </c>
      <c r="S1885">
        <v>33184.908309407518</v>
      </c>
      <c r="T1885">
        <v>15000</v>
      </c>
      <c r="U1885">
        <v>300</v>
      </c>
      <c r="V1885">
        <v>120000</v>
      </c>
      <c r="W1885">
        <v>24486.388571653599</v>
      </c>
      <c r="X1885">
        <v>10000</v>
      </c>
      <c r="Y1885">
        <v>300</v>
      </c>
      <c r="Z1885">
        <v>242800</v>
      </c>
      <c r="AA1885">
        <v>567</v>
      </c>
    </row>
    <row r="1886" spans="1:27" x14ac:dyDescent="0.25">
      <c r="A1886" t="s">
        <v>201</v>
      </c>
      <c r="B1886" t="s">
        <v>203</v>
      </c>
      <c r="C1886">
        <v>10264.40531851328</v>
      </c>
      <c r="D1886">
        <v>6800</v>
      </c>
      <c r="E1886">
        <v>500</v>
      </c>
      <c r="F1886">
        <v>400000</v>
      </c>
      <c r="G1886">
        <v>11550.09640484034</v>
      </c>
      <c r="H1886">
        <v>7000</v>
      </c>
      <c r="I1886">
        <v>200</v>
      </c>
      <c r="J1886">
        <v>100000</v>
      </c>
      <c r="K1886">
        <v>10769.49946864983</v>
      </c>
      <c r="L1886">
        <v>6000</v>
      </c>
      <c r="M1886">
        <v>300</v>
      </c>
      <c r="N1886">
        <v>200000</v>
      </c>
      <c r="O1886">
        <v>9909.4362048993626</v>
      </c>
      <c r="P1886">
        <v>7200</v>
      </c>
      <c r="Q1886">
        <v>300</v>
      </c>
      <c r="R1886">
        <v>30000</v>
      </c>
      <c r="S1886">
        <v>27396.13690332562</v>
      </c>
      <c r="T1886">
        <v>10000</v>
      </c>
      <c r="U1886">
        <v>300</v>
      </c>
      <c r="V1886">
        <v>570000</v>
      </c>
      <c r="W1886">
        <v>17118.344794921861</v>
      </c>
      <c r="X1886">
        <v>15000</v>
      </c>
      <c r="Y1886">
        <v>1500</v>
      </c>
      <c r="Z1886">
        <v>80000</v>
      </c>
      <c r="AA1886">
        <v>567</v>
      </c>
    </row>
    <row r="1887" spans="1:27" x14ac:dyDescent="0.25">
      <c r="A1887" t="s">
        <v>202</v>
      </c>
      <c r="B1887" t="s">
        <v>203</v>
      </c>
      <c r="C1887">
        <v>27035.171363469981</v>
      </c>
      <c r="D1887">
        <v>4000</v>
      </c>
      <c r="E1887">
        <v>800</v>
      </c>
      <c r="F1887">
        <v>200000</v>
      </c>
      <c r="G1887">
        <v>12697.774521981901</v>
      </c>
      <c r="H1887">
        <v>9000</v>
      </c>
      <c r="I1887">
        <v>100</v>
      </c>
      <c r="J1887">
        <v>90000</v>
      </c>
      <c r="K1887">
        <v>9583.7233363467403</v>
      </c>
      <c r="L1887">
        <v>5300</v>
      </c>
      <c r="M1887">
        <v>200</v>
      </c>
      <c r="N1887">
        <v>80000</v>
      </c>
      <c r="O1887">
        <v>9380.4793315009774</v>
      </c>
      <c r="P1887">
        <v>5600</v>
      </c>
      <c r="Q1887">
        <v>500</v>
      </c>
      <c r="R1887">
        <v>45000</v>
      </c>
      <c r="S1887">
        <v>31140.253019754859</v>
      </c>
      <c r="T1887">
        <v>30000</v>
      </c>
      <c r="U1887">
        <v>12560</v>
      </c>
      <c r="V1887">
        <v>65000</v>
      </c>
      <c r="W1887">
        <v>5499.9999999999991</v>
      </c>
      <c r="X1887">
        <v>3000</v>
      </c>
      <c r="Y1887">
        <v>3000</v>
      </c>
      <c r="Z1887">
        <v>8000</v>
      </c>
      <c r="AA1887">
        <v>567</v>
      </c>
    </row>
    <row r="1888" spans="1:27" x14ac:dyDescent="0.25">
      <c r="A1888" t="s">
        <v>204</v>
      </c>
      <c r="B1888" t="s">
        <v>204</v>
      </c>
      <c r="C1888">
        <v>15956.07130934242</v>
      </c>
      <c r="D1888">
        <v>6500</v>
      </c>
      <c r="E1888">
        <v>200</v>
      </c>
      <c r="F1888">
        <v>400000</v>
      </c>
      <c r="G1888">
        <v>10335.56837086188</v>
      </c>
      <c r="H1888">
        <v>7000</v>
      </c>
      <c r="I1888">
        <v>100</v>
      </c>
      <c r="J1888">
        <v>200000</v>
      </c>
      <c r="K1888">
        <v>13787.317757833751</v>
      </c>
      <c r="L1888">
        <v>5000</v>
      </c>
      <c r="M1888">
        <v>100</v>
      </c>
      <c r="N1888">
        <v>500000</v>
      </c>
      <c r="O1888">
        <v>9832.1782156184236</v>
      </c>
      <c r="P1888">
        <v>5000</v>
      </c>
      <c r="Q1888">
        <v>100</v>
      </c>
      <c r="R1888">
        <v>360000</v>
      </c>
      <c r="S1888">
        <v>47368.462712267683</v>
      </c>
      <c r="T1888">
        <v>10000</v>
      </c>
      <c r="U1888">
        <v>250</v>
      </c>
      <c r="V1888">
        <v>2000100</v>
      </c>
      <c r="W1888">
        <v>20569.206055084851</v>
      </c>
      <c r="X1888">
        <v>9000</v>
      </c>
      <c r="Y1888">
        <v>300</v>
      </c>
      <c r="Z1888">
        <v>242800</v>
      </c>
      <c r="AA1888">
        <v>567</v>
      </c>
    </row>
    <row r="1890" spans="1:28" x14ac:dyDescent="0.25">
      <c r="A1890" t="s">
        <v>567</v>
      </c>
    </row>
    <row r="1891" spans="1:28" x14ac:dyDescent="0.25">
      <c r="A1891" t="s">
        <v>189</v>
      </c>
      <c r="B1891" t="s">
        <v>190</v>
      </c>
      <c r="C1891" t="s">
        <v>206</v>
      </c>
      <c r="D1891" t="s">
        <v>543</v>
      </c>
      <c r="E1891" t="s">
        <v>544</v>
      </c>
      <c r="F1891" t="s">
        <v>545</v>
      </c>
      <c r="G1891" t="s">
        <v>546</v>
      </c>
      <c r="H1891" t="s">
        <v>547</v>
      </c>
      <c r="I1891" t="s">
        <v>548</v>
      </c>
      <c r="J1891" t="s">
        <v>549</v>
      </c>
      <c r="K1891" t="s">
        <v>550</v>
      </c>
      <c r="L1891" t="s">
        <v>551</v>
      </c>
      <c r="M1891" t="s">
        <v>552</v>
      </c>
      <c r="N1891" t="s">
        <v>553</v>
      </c>
      <c r="O1891" t="s">
        <v>554</v>
      </c>
      <c r="P1891" t="s">
        <v>555</v>
      </c>
      <c r="Q1891" t="s">
        <v>556</v>
      </c>
      <c r="R1891" t="s">
        <v>557</v>
      </c>
      <c r="S1891" t="s">
        <v>558</v>
      </c>
      <c r="T1891" t="s">
        <v>559</v>
      </c>
      <c r="U1891" t="s">
        <v>560</v>
      </c>
      <c r="V1891" t="s">
        <v>561</v>
      </c>
      <c r="W1891" t="s">
        <v>562</v>
      </c>
      <c r="X1891" t="s">
        <v>563</v>
      </c>
      <c r="Y1891" t="s">
        <v>564</v>
      </c>
      <c r="Z1891" t="s">
        <v>565</v>
      </c>
      <c r="AA1891" t="s">
        <v>566</v>
      </c>
      <c r="AB1891" t="s">
        <v>196</v>
      </c>
    </row>
    <row r="1892" spans="1:28" x14ac:dyDescent="0.25">
      <c r="A1892" t="s">
        <v>197</v>
      </c>
      <c r="B1892" t="s">
        <v>198</v>
      </c>
      <c r="C1892" t="s">
        <v>228</v>
      </c>
      <c r="D1892">
        <v>22561.40567416669</v>
      </c>
      <c r="E1892">
        <v>7000</v>
      </c>
      <c r="F1892">
        <v>600</v>
      </c>
      <c r="G1892">
        <v>100000</v>
      </c>
      <c r="H1892">
        <v>6246.7961598624088</v>
      </c>
      <c r="I1892">
        <v>5000</v>
      </c>
      <c r="J1892">
        <v>600</v>
      </c>
      <c r="K1892">
        <v>25000</v>
      </c>
      <c r="L1892">
        <v>7138.1277111482159</v>
      </c>
      <c r="M1892">
        <v>6350</v>
      </c>
      <c r="N1892">
        <v>1000</v>
      </c>
      <c r="O1892">
        <v>24000</v>
      </c>
      <c r="P1892">
        <v>4340.7993931511137</v>
      </c>
      <c r="Q1892">
        <v>3300</v>
      </c>
      <c r="R1892">
        <v>200</v>
      </c>
      <c r="S1892">
        <v>11000</v>
      </c>
      <c r="T1892">
        <v>6418.8163395370693</v>
      </c>
      <c r="U1892">
        <v>11000</v>
      </c>
      <c r="V1892">
        <v>4000</v>
      </c>
      <c r="W1892">
        <v>11000</v>
      </c>
      <c r="AB1892">
        <v>567</v>
      </c>
    </row>
    <row r="1893" spans="1:28" x14ac:dyDescent="0.25">
      <c r="A1893" t="s">
        <v>197</v>
      </c>
      <c r="B1893" t="s">
        <v>198</v>
      </c>
      <c r="C1893" t="s">
        <v>229</v>
      </c>
      <c r="D1893">
        <v>16099.78385731096</v>
      </c>
      <c r="E1893">
        <v>5000</v>
      </c>
      <c r="F1893">
        <v>300</v>
      </c>
      <c r="G1893">
        <v>150000</v>
      </c>
      <c r="H1893">
        <v>5643.5069922000066</v>
      </c>
      <c r="I1893">
        <v>5000</v>
      </c>
      <c r="J1893">
        <v>400</v>
      </c>
      <c r="K1893">
        <v>20000</v>
      </c>
      <c r="L1893">
        <v>19985.632201703818</v>
      </c>
      <c r="M1893">
        <v>6600</v>
      </c>
      <c r="N1893">
        <v>600</v>
      </c>
      <c r="O1893">
        <v>200000</v>
      </c>
      <c r="P1893">
        <v>4826.322531427928</v>
      </c>
      <c r="Q1893">
        <v>3000</v>
      </c>
      <c r="R1893">
        <v>300</v>
      </c>
      <c r="S1893">
        <v>16200</v>
      </c>
      <c r="T1893">
        <v>478069.16571155691</v>
      </c>
      <c r="U1893">
        <v>30000</v>
      </c>
      <c r="V1893">
        <v>5000</v>
      </c>
      <c r="W1893">
        <v>2000100</v>
      </c>
      <c r="X1893">
        <v>2500</v>
      </c>
      <c r="Y1893">
        <v>2500</v>
      </c>
      <c r="Z1893">
        <v>2500</v>
      </c>
      <c r="AA1893">
        <v>2500</v>
      </c>
      <c r="AB1893">
        <v>567</v>
      </c>
    </row>
    <row r="1894" spans="1:28" x14ac:dyDescent="0.25">
      <c r="A1894" t="s">
        <v>199</v>
      </c>
      <c r="B1894" t="s">
        <v>198</v>
      </c>
      <c r="C1894" t="s">
        <v>228</v>
      </c>
      <c r="D1894">
        <v>14981.78041425524</v>
      </c>
      <c r="E1894">
        <v>7000</v>
      </c>
      <c r="F1894">
        <v>350</v>
      </c>
      <c r="G1894">
        <v>100000</v>
      </c>
      <c r="H1894">
        <v>7255.7547966539514</v>
      </c>
      <c r="I1894">
        <v>5000</v>
      </c>
      <c r="J1894">
        <v>500</v>
      </c>
      <c r="K1894">
        <v>30000</v>
      </c>
      <c r="L1894">
        <v>7848.8643380084613</v>
      </c>
      <c r="M1894">
        <v>5700</v>
      </c>
      <c r="N1894">
        <v>300</v>
      </c>
      <c r="O1894">
        <v>60000</v>
      </c>
      <c r="P1894">
        <v>4470.529289907462</v>
      </c>
      <c r="Q1894">
        <v>1000</v>
      </c>
      <c r="R1894">
        <v>300</v>
      </c>
      <c r="S1894">
        <v>30000</v>
      </c>
      <c r="T1894">
        <v>12411.024517824741</v>
      </c>
      <c r="U1894">
        <v>12000</v>
      </c>
      <c r="V1894">
        <v>1000</v>
      </c>
      <c r="W1894">
        <v>25000</v>
      </c>
      <c r="X1894">
        <v>5374.4890251685574</v>
      </c>
      <c r="Y1894">
        <v>3000</v>
      </c>
      <c r="Z1894">
        <v>700</v>
      </c>
      <c r="AA1894">
        <v>100000</v>
      </c>
      <c r="AB1894">
        <v>567</v>
      </c>
    </row>
    <row r="1895" spans="1:28" x14ac:dyDescent="0.25">
      <c r="A1895" t="s">
        <v>199</v>
      </c>
      <c r="B1895" t="s">
        <v>198</v>
      </c>
      <c r="C1895" t="s">
        <v>229</v>
      </c>
      <c r="D1895">
        <v>10475.979644958759</v>
      </c>
      <c r="E1895">
        <v>5000</v>
      </c>
      <c r="F1895">
        <v>300</v>
      </c>
      <c r="G1895">
        <v>70000</v>
      </c>
      <c r="H1895">
        <v>6627.5241728703859</v>
      </c>
      <c r="I1895">
        <v>5950</v>
      </c>
      <c r="J1895">
        <v>300</v>
      </c>
      <c r="K1895">
        <v>30000</v>
      </c>
      <c r="L1895">
        <v>8745.8900580880272</v>
      </c>
      <c r="M1895">
        <v>5000</v>
      </c>
      <c r="N1895">
        <v>300</v>
      </c>
      <c r="O1895">
        <v>150000</v>
      </c>
      <c r="P1895">
        <v>9693.9245822231551</v>
      </c>
      <c r="Q1895">
        <v>6000</v>
      </c>
      <c r="R1895">
        <v>300</v>
      </c>
      <c r="S1895">
        <v>35000</v>
      </c>
      <c r="T1895">
        <v>7492.6880649386339</v>
      </c>
      <c r="U1895">
        <v>3600</v>
      </c>
      <c r="V1895">
        <v>1500</v>
      </c>
      <c r="W1895">
        <v>60000</v>
      </c>
      <c r="X1895">
        <v>5610.5352884828817</v>
      </c>
      <c r="Y1895">
        <v>4000</v>
      </c>
      <c r="Z1895">
        <v>400</v>
      </c>
      <c r="AA1895">
        <v>48000</v>
      </c>
      <c r="AB1895">
        <v>567</v>
      </c>
    </row>
    <row r="1896" spans="1:28" x14ac:dyDescent="0.25">
      <c r="A1896" t="s">
        <v>200</v>
      </c>
      <c r="B1896" t="s">
        <v>198</v>
      </c>
      <c r="C1896" t="s">
        <v>228</v>
      </c>
      <c r="D1896">
        <v>37935.325688612407</v>
      </c>
      <c r="E1896">
        <v>5000</v>
      </c>
      <c r="F1896">
        <v>400</v>
      </c>
      <c r="G1896">
        <v>200000</v>
      </c>
      <c r="H1896">
        <v>16564.749078828259</v>
      </c>
      <c r="I1896">
        <v>5500</v>
      </c>
      <c r="J1896">
        <v>300</v>
      </c>
      <c r="K1896">
        <v>100000</v>
      </c>
      <c r="L1896">
        <v>16075.124449106779</v>
      </c>
      <c r="M1896">
        <v>6000</v>
      </c>
      <c r="N1896">
        <v>400</v>
      </c>
      <c r="O1896">
        <v>150000</v>
      </c>
      <c r="P1896">
        <v>5638.7383374970896</v>
      </c>
      <c r="Q1896">
        <v>3000</v>
      </c>
      <c r="R1896">
        <v>300</v>
      </c>
      <c r="S1896">
        <v>24000</v>
      </c>
      <c r="T1896">
        <v>15361.45606784243</v>
      </c>
      <c r="U1896">
        <v>6000</v>
      </c>
      <c r="V1896">
        <v>2000</v>
      </c>
      <c r="W1896">
        <v>50000</v>
      </c>
      <c r="X1896">
        <v>44074.920416870329</v>
      </c>
      <c r="Y1896">
        <v>12000</v>
      </c>
      <c r="Z1896">
        <v>1000</v>
      </c>
      <c r="AA1896">
        <v>240000</v>
      </c>
      <c r="AB1896">
        <v>567</v>
      </c>
    </row>
    <row r="1897" spans="1:28" x14ac:dyDescent="0.25">
      <c r="A1897" t="s">
        <v>200</v>
      </c>
      <c r="B1897" t="s">
        <v>198</v>
      </c>
      <c r="C1897" t="s">
        <v>229</v>
      </c>
      <c r="D1897">
        <v>10844.80143873112</v>
      </c>
      <c r="E1897">
        <v>3000</v>
      </c>
      <c r="F1897">
        <v>350</v>
      </c>
      <c r="G1897">
        <v>100000</v>
      </c>
      <c r="H1897">
        <v>11384.75967106819</v>
      </c>
      <c r="I1897">
        <v>7500</v>
      </c>
      <c r="J1897">
        <v>300</v>
      </c>
      <c r="K1897">
        <v>68000</v>
      </c>
      <c r="L1897">
        <v>13909.37357705146</v>
      </c>
      <c r="M1897">
        <v>7000</v>
      </c>
      <c r="N1897">
        <v>100</v>
      </c>
      <c r="O1897">
        <v>300000</v>
      </c>
      <c r="P1897">
        <v>10871.98853716739</v>
      </c>
      <c r="Q1897">
        <v>4300</v>
      </c>
      <c r="R1897">
        <v>250</v>
      </c>
      <c r="S1897">
        <v>100000</v>
      </c>
      <c r="T1897">
        <v>23335.963870854699</v>
      </c>
      <c r="U1897">
        <v>11000</v>
      </c>
      <c r="V1897">
        <v>250</v>
      </c>
      <c r="W1897">
        <v>240000</v>
      </c>
      <c r="X1897">
        <v>26453.790542451941</v>
      </c>
      <c r="Y1897">
        <v>20000</v>
      </c>
      <c r="Z1897">
        <v>1000</v>
      </c>
      <c r="AA1897">
        <v>80000</v>
      </c>
      <c r="AB1897">
        <v>567</v>
      </c>
    </row>
    <row r="1898" spans="1:28" x14ac:dyDescent="0.25">
      <c r="A1898" t="s">
        <v>201</v>
      </c>
      <c r="B1898" t="s">
        <v>198</v>
      </c>
      <c r="C1898" t="s">
        <v>228</v>
      </c>
      <c r="D1898">
        <v>6118.9888153027996</v>
      </c>
      <c r="E1898">
        <v>3000</v>
      </c>
      <c r="F1898">
        <v>250</v>
      </c>
      <c r="G1898">
        <v>40000</v>
      </c>
      <c r="H1898">
        <v>6841.2292860550724</v>
      </c>
      <c r="I1898">
        <v>5000</v>
      </c>
      <c r="J1898">
        <v>500</v>
      </c>
      <c r="K1898">
        <v>22000</v>
      </c>
      <c r="L1898">
        <v>8022.3796561603658</v>
      </c>
      <c r="M1898">
        <v>6000</v>
      </c>
      <c r="N1898">
        <v>100</v>
      </c>
      <c r="O1898">
        <v>100000</v>
      </c>
      <c r="P1898">
        <v>4454.4260156503233</v>
      </c>
      <c r="Q1898">
        <v>3000</v>
      </c>
      <c r="R1898">
        <v>200</v>
      </c>
      <c r="S1898">
        <v>12000</v>
      </c>
      <c r="T1898">
        <v>8075.4764822111601</v>
      </c>
      <c r="U1898">
        <v>6000</v>
      </c>
      <c r="V1898">
        <v>2300</v>
      </c>
      <c r="W1898">
        <v>30000</v>
      </c>
      <c r="X1898">
        <v>16842.223360857199</v>
      </c>
      <c r="Y1898">
        <v>19000</v>
      </c>
      <c r="Z1898">
        <v>5000</v>
      </c>
      <c r="AA1898">
        <v>19000</v>
      </c>
      <c r="AB1898">
        <v>567</v>
      </c>
    </row>
    <row r="1899" spans="1:28" x14ac:dyDescent="0.25">
      <c r="A1899" t="s">
        <v>201</v>
      </c>
      <c r="B1899" t="s">
        <v>198</v>
      </c>
      <c r="C1899" t="s">
        <v>229</v>
      </c>
      <c r="D1899">
        <v>20771.029632266989</v>
      </c>
      <c r="E1899">
        <v>10000</v>
      </c>
      <c r="F1899">
        <v>700</v>
      </c>
      <c r="G1899">
        <v>200000</v>
      </c>
      <c r="H1899">
        <v>8336.125076560762</v>
      </c>
      <c r="I1899">
        <v>5000</v>
      </c>
      <c r="J1899">
        <v>300</v>
      </c>
      <c r="K1899">
        <v>60000</v>
      </c>
      <c r="L1899">
        <v>11977.522573652501</v>
      </c>
      <c r="M1899">
        <v>6000</v>
      </c>
      <c r="N1899">
        <v>300</v>
      </c>
      <c r="O1899">
        <v>320000</v>
      </c>
      <c r="P1899">
        <v>8159.7118863140868</v>
      </c>
      <c r="Q1899">
        <v>4200</v>
      </c>
      <c r="R1899">
        <v>200</v>
      </c>
      <c r="S1899">
        <v>48000</v>
      </c>
      <c r="T1899">
        <v>8150.062123884326</v>
      </c>
      <c r="U1899">
        <v>9000</v>
      </c>
      <c r="V1899">
        <v>2000</v>
      </c>
      <c r="W1899">
        <v>35000</v>
      </c>
      <c r="X1899">
        <v>3992.7601612075491</v>
      </c>
      <c r="Y1899">
        <v>4800</v>
      </c>
      <c r="Z1899">
        <v>2000</v>
      </c>
      <c r="AA1899">
        <v>30000</v>
      </c>
      <c r="AB1899">
        <v>567</v>
      </c>
    </row>
    <row r="1900" spans="1:28" x14ac:dyDescent="0.25">
      <c r="A1900" t="s">
        <v>202</v>
      </c>
      <c r="B1900" t="s">
        <v>198</v>
      </c>
      <c r="C1900" t="s">
        <v>228</v>
      </c>
      <c r="D1900">
        <v>3128.088044043091</v>
      </c>
      <c r="E1900">
        <v>5000</v>
      </c>
      <c r="F1900">
        <v>500</v>
      </c>
      <c r="G1900">
        <v>5000</v>
      </c>
      <c r="H1900">
        <v>3546.2231872493921</v>
      </c>
      <c r="I1900">
        <v>3000</v>
      </c>
      <c r="J1900">
        <v>600</v>
      </c>
      <c r="K1900">
        <v>6000</v>
      </c>
      <c r="L1900">
        <v>9169.1881953147313</v>
      </c>
      <c r="M1900">
        <v>2500</v>
      </c>
      <c r="N1900">
        <v>700</v>
      </c>
      <c r="O1900">
        <v>250000</v>
      </c>
      <c r="P1900">
        <v>2650.478178749288</v>
      </c>
      <c r="Q1900">
        <v>2000</v>
      </c>
      <c r="R1900">
        <v>250</v>
      </c>
      <c r="S1900">
        <v>10000</v>
      </c>
      <c r="T1900">
        <v>12000</v>
      </c>
      <c r="U1900">
        <v>12000</v>
      </c>
      <c r="V1900">
        <v>12000</v>
      </c>
      <c r="W1900">
        <v>12000</v>
      </c>
      <c r="X1900">
        <v>9000</v>
      </c>
      <c r="Y1900">
        <v>9000</v>
      </c>
      <c r="Z1900">
        <v>9000</v>
      </c>
      <c r="AA1900">
        <v>9000</v>
      </c>
      <c r="AB1900">
        <v>567</v>
      </c>
    </row>
    <row r="1901" spans="1:28" x14ac:dyDescent="0.25">
      <c r="A1901" t="s">
        <v>202</v>
      </c>
      <c r="B1901" t="s">
        <v>198</v>
      </c>
      <c r="C1901" t="s">
        <v>229</v>
      </c>
      <c r="D1901">
        <v>11609.19970456291</v>
      </c>
      <c r="E1901">
        <v>5000</v>
      </c>
      <c r="F1901">
        <v>600</v>
      </c>
      <c r="G1901">
        <v>100000</v>
      </c>
      <c r="H1901">
        <v>6440.1245455354274</v>
      </c>
      <c r="I1901">
        <v>7000</v>
      </c>
      <c r="J1901">
        <v>250</v>
      </c>
      <c r="K1901">
        <v>20000</v>
      </c>
      <c r="L1901">
        <v>13672.11046364231</v>
      </c>
      <c r="M1901">
        <v>7000</v>
      </c>
      <c r="N1901">
        <v>500</v>
      </c>
      <c r="O1901">
        <v>90000</v>
      </c>
      <c r="P1901">
        <v>7575.2955269862896</v>
      </c>
      <c r="Q1901">
        <v>5000</v>
      </c>
      <c r="R1901">
        <v>100</v>
      </c>
      <c r="S1901">
        <v>40000</v>
      </c>
      <c r="T1901">
        <v>19436.01332046925</v>
      </c>
      <c r="U1901">
        <v>33000</v>
      </c>
      <c r="V1901">
        <v>6000</v>
      </c>
      <c r="W1901">
        <v>33000</v>
      </c>
      <c r="X1901">
        <v>800.00000000000011</v>
      </c>
      <c r="Y1901">
        <v>800</v>
      </c>
      <c r="Z1901">
        <v>800</v>
      </c>
      <c r="AA1901">
        <v>800</v>
      </c>
      <c r="AB1901">
        <v>567</v>
      </c>
    </row>
    <row r="1902" spans="1:28" x14ac:dyDescent="0.25">
      <c r="A1902" t="s">
        <v>199</v>
      </c>
      <c r="B1902" t="s">
        <v>203</v>
      </c>
      <c r="C1902" t="s">
        <v>228</v>
      </c>
      <c r="D1902">
        <v>14334.15984873012</v>
      </c>
      <c r="E1902">
        <v>7000</v>
      </c>
      <c r="F1902">
        <v>1000</v>
      </c>
      <c r="G1902">
        <v>200000</v>
      </c>
      <c r="H1902">
        <v>12632.74154108732</v>
      </c>
      <c r="I1902">
        <v>5000</v>
      </c>
      <c r="J1902">
        <v>500</v>
      </c>
      <c r="K1902">
        <v>50000</v>
      </c>
      <c r="L1902">
        <v>28385.580828135069</v>
      </c>
      <c r="M1902">
        <v>14000</v>
      </c>
      <c r="N1902">
        <v>200</v>
      </c>
      <c r="O1902">
        <v>100000</v>
      </c>
      <c r="P1902">
        <v>2907.719333071333</v>
      </c>
      <c r="Q1902">
        <v>1000</v>
      </c>
      <c r="R1902">
        <v>400</v>
      </c>
      <c r="S1902">
        <v>30000</v>
      </c>
      <c r="T1902">
        <v>7066.9303907044359</v>
      </c>
      <c r="U1902">
        <v>6000</v>
      </c>
      <c r="V1902">
        <v>1200</v>
      </c>
      <c r="W1902">
        <v>36000</v>
      </c>
      <c r="X1902">
        <v>12327.27520632362</v>
      </c>
      <c r="Y1902">
        <v>20000</v>
      </c>
      <c r="Z1902">
        <v>1200</v>
      </c>
      <c r="AA1902">
        <v>20000</v>
      </c>
      <c r="AB1902">
        <v>567</v>
      </c>
    </row>
    <row r="1903" spans="1:28" x14ac:dyDescent="0.25">
      <c r="A1903" t="s">
        <v>199</v>
      </c>
      <c r="B1903" t="s">
        <v>203</v>
      </c>
      <c r="C1903" t="s">
        <v>229</v>
      </c>
      <c r="D1903">
        <v>9815.8338005455607</v>
      </c>
      <c r="E1903">
        <v>6000</v>
      </c>
      <c r="F1903">
        <v>200</v>
      </c>
      <c r="G1903">
        <v>200000</v>
      </c>
      <c r="H1903">
        <v>10332.362500750531</v>
      </c>
      <c r="I1903">
        <v>7000</v>
      </c>
      <c r="J1903">
        <v>300</v>
      </c>
      <c r="K1903">
        <v>90000</v>
      </c>
      <c r="L1903">
        <v>9394.7909913689673</v>
      </c>
      <c r="M1903">
        <v>4000</v>
      </c>
      <c r="N1903">
        <v>200</v>
      </c>
      <c r="O1903">
        <v>350000</v>
      </c>
      <c r="P1903">
        <v>12591.105794155719</v>
      </c>
      <c r="Q1903">
        <v>8000</v>
      </c>
      <c r="R1903">
        <v>400</v>
      </c>
      <c r="S1903">
        <v>120000</v>
      </c>
      <c r="T1903">
        <v>20399.817577435249</v>
      </c>
      <c r="U1903">
        <v>6000</v>
      </c>
      <c r="V1903">
        <v>500</v>
      </c>
      <c r="W1903">
        <v>100000</v>
      </c>
      <c r="X1903">
        <v>14047.68940955305</v>
      </c>
      <c r="Y1903">
        <v>6000</v>
      </c>
      <c r="Z1903">
        <v>600</v>
      </c>
      <c r="AA1903">
        <v>123000</v>
      </c>
      <c r="AB1903">
        <v>567</v>
      </c>
    </row>
    <row r="1904" spans="1:28" x14ac:dyDescent="0.25">
      <c r="A1904" t="s">
        <v>200</v>
      </c>
      <c r="B1904" t="s">
        <v>203</v>
      </c>
      <c r="C1904" t="s">
        <v>228</v>
      </c>
      <c r="D1904">
        <v>30493.764675457951</v>
      </c>
      <c r="E1904">
        <v>10000</v>
      </c>
      <c r="F1904">
        <v>300</v>
      </c>
      <c r="G1904">
        <v>200000</v>
      </c>
      <c r="H1904">
        <v>12279.254229895299</v>
      </c>
      <c r="I1904">
        <v>9000</v>
      </c>
      <c r="J1904">
        <v>250</v>
      </c>
      <c r="K1904">
        <v>200000</v>
      </c>
      <c r="L1904">
        <v>13590.2418630583</v>
      </c>
      <c r="M1904">
        <v>5500</v>
      </c>
      <c r="N1904">
        <v>500</v>
      </c>
      <c r="O1904">
        <v>100000</v>
      </c>
      <c r="P1904">
        <v>16825.1135024703</v>
      </c>
      <c r="Q1904">
        <v>6800</v>
      </c>
      <c r="R1904">
        <v>100</v>
      </c>
      <c r="S1904">
        <v>360000</v>
      </c>
      <c r="T1904">
        <v>27496.480603833519</v>
      </c>
      <c r="U1904">
        <v>18000</v>
      </c>
      <c r="V1904">
        <v>1000</v>
      </c>
      <c r="W1904">
        <v>100000</v>
      </c>
      <c r="X1904">
        <v>16227.892367279201</v>
      </c>
      <c r="Y1904">
        <v>8000</v>
      </c>
      <c r="Z1904">
        <v>400</v>
      </c>
      <c r="AA1904">
        <v>70000</v>
      </c>
      <c r="AB1904">
        <v>567</v>
      </c>
    </row>
    <row r="1905" spans="1:28" x14ac:dyDescent="0.25">
      <c r="A1905" t="s">
        <v>200</v>
      </c>
      <c r="B1905" t="s">
        <v>203</v>
      </c>
      <c r="C1905" t="s">
        <v>229</v>
      </c>
      <c r="D1905">
        <v>13005.81799868523</v>
      </c>
      <c r="E1905">
        <v>10000</v>
      </c>
      <c r="F1905">
        <v>304</v>
      </c>
      <c r="G1905">
        <v>300000</v>
      </c>
      <c r="H1905">
        <v>11605.59394622467</v>
      </c>
      <c r="I1905">
        <v>8000</v>
      </c>
      <c r="J1905">
        <v>250</v>
      </c>
      <c r="K1905">
        <v>100000</v>
      </c>
      <c r="L1905">
        <v>19847.120970275959</v>
      </c>
      <c r="M1905">
        <v>6000</v>
      </c>
      <c r="N1905">
        <v>100</v>
      </c>
      <c r="O1905">
        <v>500000</v>
      </c>
      <c r="P1905">
        <v>9930.3787896213198</v>
      </c>
      <c r="Q1905">
        <v>6000</v>
      </c>
      <c r="R1905">
        <v>100</v>
      </c>
      <c r="S1905">
        <v>90000</v>
      </c>
      <c r="T1905">
        <v>37817.347909793149</v>
      </c>
      <c r="U1905">
        <v>10000</v>
      </c>
      <c r="V1905">
        <v>300</v>
      </c>
      <c r="W1905">
        <v>120000</v>
      </c>
      <c r="X1905">
        <v>26021.52760161084</v>
      </c>
      <c r="Y1905">
        <v>12000</v>
      </c>
      <c r="Z1905">
        <v>300</v>
      </c>
      <c r="AA1905">
        <v>242800</v>
      </c>
      <c r="AB1905">
        <v>567</v>
      </c>
    </row>
    <row r="1906" spans="1:28" x14ac:dyDescent="0.25">
      <c r="A1906" t="s">
        <v>201</v>
      </c>
      <c r="B1906" t="s">
        <v>203</v>
      </c>
      <c r="C1906" t="s">
        <v>228</v>
      </c>
      <c r="D1906">
        <v>20339.47849405482</v>
      </c>
      <c r="E1906">
        <v>5000</v>
      </c>
      <c r="F1906">
        <v>500</v>
      </c>
      <c r="G1906">
        <v>400000</v>
      </c>
      <c r="H1906">
        <v>6745.1268134075117</v>
      </c>
      <c r="I1906">
        <v>5000</v>
      </c>
      <c r="J1906">
        <v>600</v>
      </c>
      <c r="K1906">
        <v>30000</v>
      </c>
      <c r="L1906">
        <v>14924.35103915587</v>
      </c>
      <c r="M1906">
        <v>6000</v>
      </c>
      <c r="N1906">
        <v>700</v>
      </c>
      <c r="O1906">
        <v>200000</v>
      </c>
      <c r="P1906">
        <v>11384.816556661261</v>
      </c>
      <c r="Q1906">
        <v>15000</v>
      </c>
      <c r="R1906">
        <v>300</v>
      </c>
      <c r="S1906">
        <v>25000</v>
      </c>
      <c r="T1906">
        <v>126572.1669238625</v>
      </c>
      <c r="U1906">
        <v>10000</v>
      </c>
      <c r="V1906">
        <v>300</v>
      </c>
      <c r="W1906">
        <v>570000</v>
      </c>
      <c r="X1906">
        <v>9257.5043776172279</v>
      </c>
      <c r="Y1906">
        <v>5000</v>
      </c>
      <c r="Z1906">
        <v>1500</v>
      </c>
      <c r="AA1906">
        <v>30000</v>
      </c>
      <c r="AB1906">
        <v>567</v>
      </c>
    </row>
    <row r="1907" spans="1:28" x14ac:dyDescent="0.25">
      <c r="A1907" t="s">
        <v>201</v>
      </c>
      <c r="B1907" t="s">
        <v>203</v>
      </c>
      <c r="C1907" t="s">
        <v>229</v>
      </c>
      <c r="D1907">
        <v>8170.6264847150933</v>
      </c>
      <c r="E1907">
        <v>8000</v>
      </c>
      <c r="F1907">
        <v>600</v>
      </c>
      <c r="G1907">
        <v>50000</v>
      </c>
      <c r="H1907">
        <v>12778.85681578356</v>
      </c>
      <c r="I1907">
        <v>8000</v>
      </c>
      <c r="J1907">
        <v>200</v>
      </c>
      <c r="K1907">
        <v>100000</v>
      </c>
      <c r="L1907">
        <v>9658.4048281409159</v>
      </c>
      <c r="M1907">
        <v>6000</v>
      </c>
      <c r="N1907">
        <v>300</v>
      </c>
      <c r="O1907">
        <v>60000</v>
      </c>
      <c r="P1907">
        <v>9623.8488709214271</v>
      </c>
      <c r="Q1907">
        <v>6000</v>
      </c>
      <c r="R1907">
        <v>500</v>
      </c>
      <c r="S1907">
        <v>30000</v>
      </c>
      <c r="T1907">
        <v>11933.5674585986</v>
      </c>
      <c r="U1907">
        <v>15000</v>
      </c>
      <c r="V1907">
        <v>1800</v>
      </c>
      <c r="W1907">
        <v>54000</v>
      </c>
      <c r="X1907">
        <v>18574.566180693018</v>
      </c>
      <c r="Y1907">
        <v>17000</v>
      </c>
      <c r="Z1907">
        <v>2500</v>
      </c>
      <c r="AA1907">
        <v>80000</v>
      </c>
      <c r="AB1907">
        <v>567</v>
      </c>
    </row>
    <row r="1908" spans="1:28" x14ac:dyDescent="0.25">
      <c r="A1908" t="s">
        <v>202</v>
      </c>
      <c r="B1908" t="s">
        <v>203</v>
      </c>
      <c r="C1908" t="s">
        <v>228</v>
      </c>
      <c r="D1908">
        <v>53570.247464775479</v>
      </c>
      <c r="E1908">
        <v>12000</v>
      </c>
      <c r="F1908">
        <v>2000</v>
      </c>
      <c r="G1908">
        <v>200000</v>
      </c>
      <c r="H1908">
        <v>14291.9586449464</v>
      </c>
      <c r="I1908">
        <v>10000</v>
      </c>
      <c r="J1908">
        <v>100</v>
      </c>
      <c r="K1908">
        <v>60000</v>
      </c>
      <c r="L1908">
        <v>8475.9354832586268</v>
      </c>
      <c r="M1908">
        <v>6000</v>
      </c>
      <c r="N1908">
        <v>200</v>
      </c>
      <c r="O1908">
        <v>50000</v>
      </c>
      <c r="P1908">
        <v>7567.3871719937006</v>
      </c>
      <c r="Q1908">
        <v>5600</v>
      </c>
      <c r="R1908">
        <v>500</v>
      </c>
      <c r="S1908">
        <v>30000</v>
      </c>
      <c r="T1908">
        <v>62479.606655017669</v>
      </c>
      <c r="U1908">
        <v>65000</v>
      </c>
      <c r="V1908">
        <v>50000</v>
      </c>
      <c r="W1908">
        <v>65000</v>
      </c>
      <c r="X1908">
        <v>3000</v>
      </c>
      <c r="Y1908">
        <v>3000</v>
      </c>
      <c r="Z1908">
        <v>3000</v>
      </c>
      <c r="AA1908">
        <v>3000</v>
      </c>
      <c r="AB1908">
        <v>567</v>
      </c>
    </row>
    <row r="1909" spans="1:28" x14ac:dyDescent="0.25">
      <c r="A1909" t="s">
        <v>202</v>
      </c>
      <c r="B1909" t="s">
        <v>203</v>
      </c>
      <c r="C1909" t="s">
        <v>229</v>
      </c>
      <c r="D1909">
        <v>11761.791068946881</v>
      </c>
      <c r="E1909">
        <v>4000</v>
      </c>
      <c r="F1909">
        <v>800</v>
      </c>
      <c r="G1909">
        <v>100000</v>
      </c>
      <c r="H1909">
        <v>12145.965101476029</v>
      </c>
      <c r="I1909">
        <v>8000</v>
      </c>
      <c r="J1909">
        <v>500</v>
      </c>
      <c r="K1909">
        <v>90000</v>
      </c>
      <c r="L1909">
        <v>9976.6362340057931</v>
      </c>
      <c r="M1909">
        <v>5000</v>
      </c>
      <c r="N1909">
        <v>500</v>
      </c>
      <c r="O1909">
        <v>80000</v>
      </c>
      <c r="P1909">
        <v>10535.473286235199</v>
      </c>
      <c r="Q1909">
        <v>3000</v>
      </c>
      <c r="R1909">
        <v>1000</v>
      </c>
      <c r="S1909">
        <v>45000</v>
      </c>
      <c r="T1909">
        <v>17664.243986511101</v>
      </c>
      <c r="U1909">
        <v>20000</v>
      </c>
      <c r="V1909">
        <v>12560</v>
      </c>
      <c r="W1909">
        <v>30000</v>
      </c>
      <c r="X1909">
        <v>7999.9999999999991</v>
      </c>
      <c r="Y1909">
        <v>8000</v>
      </c>
      <c r="Z1909">
        <v>8000</v>
      </c>
      <c r="AA1909">
        <v>8000</v>
      </c>
      <c r="AB1909">
        <v>567</v>
      </c>
    </row>
    <row r="1910" spans="1:28" x14ac:dyDescent="0.25">
      <c r="A1910" t="s">
        <v>204</v>
      </c>
      <c r="B1910" t="s">
        <v>204</v>
      </c>
      <c r="C1910" t="s">
        <v>204</v>
      </c>
      <c r="D1910">
        <v>15956.07130934242</v>
      </c>
      <c r="E1910">
        <v>6500</v>
      </c>
      <c r="F1910">
        <v>200</v>
      </c>
      <c r="G1910">
        <v>400000</v>
      </c>
      <c r="H1910">
        <v>10335.56837086188</v>
      </c>
      <c r="I1910">
        <v>7000</v>
      </c>
      <c r="J1910">
        <v>100</v>
      </c>
      <c r="K1910">
        <v>200000</v>
      </c>
      <c r="L1910">
        <v>13787.317757833751</v>
      </c>
      <c r="M1910">
        <v>5000</v>
      </c>
      <c r="N1910">
        <v>100</v>
      </c>
      <c r="O1910">
        <v>500000</v>
      </c>
      <c r="P1910">
        <v>9832.1782156184236</v>
      </c>
      <c r="Q1910">
        <v>5000</v>
      </c>
      <c r="R1910">
        <v>100</v>
      </c>
      <c r="S1910">
        <v>360000</v>
      </c>
      <c r="T1910">
        <v>47368.462712267683</v>
      </c>
      <c r="U1910">
        <v>10000</v>
      </c>
      <c r="V1910">
        <v>250</v>
      </c>
      <c r="W1910">
        <v>2000100</v>
      </c>
      <c r="X1910">
        <v>20569.206055084851</v>
      </c>
      <c r="Y1910">
        <v>9000</v>
      </c>
      <c r="Z1910">
        <v>300</v>
      </c>
      <c r="AA1910">
        <v>242800</v>
      </c>
      <c r="AB1910">
        <v>567</v>
      </c>
    </row>
    <row r="1912" spans="1:28" x14ac:dyDescent="0.25">
      <c r="A1912" t="s">
        <v>568</v>
      </c>
    </row>
    <row r="1913" spans="1:28" x14ac:dyDescent="0.25">
      <c r="A1913" t="s">
        <v>189</v>
      </c>
      <c r="B1913" t="s">
        <v>190</v>
      </c>
      <c r="C1913" t="s">
        <v>206</v>
      </c>
      <c r="D1913" t="s">
        <v>543</v>
      </c>
      <c r="E1913" t="s">
        <v>544</v>
      </c>
      <c r="F1913" t="s">
        <v>545</v>
      </c>
      <c r="G1913" t="s">
        <v>546</v>
      </c>
      <c r="H1913" t="s">
        <v>547</v>
      </c>
      <c r="I1913" t="s">
        <v>548</v>
      </c>
      <c r="J1913" t="s">
        <v>549</v>
      </c>
      <c r="K1913" t="s">
        <v>550</v>
      </c>
      <c r="L1913" t="s">
        <v>551</v>
      </c>
      <c r="M1913" t="s">
        <v>552</v>
      </c>
      <c r="N1913" t="s">
        <v>553</v>
      </c>
      <c r="O1913" t="s">
        <v>554</v>
      </c>
      <c r="P1913" t="s">
        <v>555</v>
      </c>
      <c r="Q1913" t="s">
        <v>556</v>
      </c>
      <c r="R1913" t="s">
        <v>557</v>
      </c>
      <c r="S1913" t="s">
        <v>558</v>
      </c>
      <c r="T1913" t="s">
        <v>559</v>
      </c>
      <c r="U1913" t="s">
        <v>560</v>
      </c>
      <c r="V1913" t="s">
        <v>561</v>
      </c>
      <c r="W1913" t="s">
        <v>562</v>
      </c>
      <c r="X1913" t="s">
        <v>563</v>
      </c>
      <c r="Y1913" t="s">
        <v>564</v>
      </c>
      <c r="Z1913" t="s">
        <v>565</v>
      </c>
      <c r="AA1913" t="s">
        <v>566</v>
      </c>
      <c r="AB1913" t="s">
        <v>196</v>
      </c>
    </row>
    <row r="1914" spans="1:28" x14ac:dyDescent="0.25">
      <c r="A1914" t="s">
        <v>197</v>
      </c>
      <c r="B1914" t="s">
        <v>198</v>
      </c>
      <c r="C1914" t="s">
        <v>348</v>
      </c>
      <c r="D1914">
        <v>20629.123179001821</v>
      </c>
      <c r="E1914">
        <v>5000</v>
      </c>
      <c r="F1914">
        <v>300</v>
      </c>
      <c r="G1914">
        <v>150000</v>
      </c>
      <c r="H1914">
        <v>5436.7442097743224</v>
      </c>
      <c r="I1914">
        <v>4000</v>
      </c>
      <c r="J1914">
        <v>400</v>
      </c>
      <c r="K1914">
        <v>20000</v>
      </c>
      <c r="L1914">
        <v>14761.083050921779</v>
      </c>
      <c r="M1914">
        <v>6000</v>
      </c>
      <c r="N1914">
        <v>600</v>
      </c>
      <c r="O1914">
        <v>200000</v>
      </c>
      <c r="P1914">
        <v>4417.983168491578</v>
      </c>
      <c r="Q1914">
        <v>2000</v>
      </c>
      <c r="R1914">
        <v>200</v>
      </c>
      <c r="S1914">
        <v>16200</v>
      </c>
      <c r="T1914">
        <v>352678.02184844989</v>
      </c>
      <c r="U1914">
        <v>11000</v>
      </c>
      <c r="V1914">
        <v>4000</v>
      </c>
      <c r="W1914">
        <v>2000100</v>
      </c>
      <c r="X1914">
        <v>2500</v>
      </c>
      <c r="Y1914">
        <v>2500</v>
      </c>
      <c r="Z1914">
        <v>2500</v>
      </c>
      <c r="AA1914">
        <v>2500</v>
      </c>
      <c r="AB1914">
        <v>567</v>
      </c>
    </row>
    <row r="1915" spans="1:28" x14ac:dyDescent="0.25">
      <c r="A1915" t="s">
        <v>197</v>
      </c>
      <c r="B1915" t="s">
        <v>198</v>
      </c>
      <c r="C1915" t="s">
        <v>349</v>
      </c>
      <c r="D1915">
        <v>1500</v>
      </c>
      <c r="E1915">
        <v>1500</v>
      </c>
      <c r="F1915">
        <v>1500</v>
      </c>
      <c r="G1915">
        <v>1500</v>
      </c>
      <c r="H1915">
        <v>13500</v>
      </c>
      <c r="I1915">
        <v>2000</v>
      </c>
      <c r="J1915">
        <v>2000</v>
      </c>
      <c r="K1915">
        <v>25000</v>
      </c>
      <c r="L1915">
        <v>11000</v>
      </c>
      <c r="M1915">
        <v>2000</v>
      </c>
      <c r="N1915">
        <v>2000</v>
      </c>
      <c r="O1915">
        <v>20000</v>
      </c>
      <c r="P1915">
        <v>7150</v>
      </c>
      <c r="Q1915">
        <v>3300</v>
      </c>
      <c r="R1915">
        <v>3300</v>
      </c>
      <c r="S1915">
        <v>11000</v>
      </c>
      <c r="T1915">
        <v>4000</v>
      </c>
      <c r="U1915">
        <v>4000</v>
      </c>
      <c r="V1915">
        <v>4000</v>
      </c>
      <c r="W1915">
        <v>4000</v>
      </c>
      <c r="AB1915">
        <v>567</v>
      </c>
    </row>
    <row r="1916" spans="1:28" x14ac:dyDescent="0.25">
      <c r="A1916" t="s">
        <v>199</v>
      </c>
      <c r="B1916" t="s">
        <v>198</v>
      </c>
      <c r="C1916" t="s">
        <v>348</v>
      </c>
      <c r="D1916">
        <v>12347.29855454427</v>
      </c>
      <c r="E1916">
        <v>10000</v>
      </c>
      <c r="F1916">
        <v>800</v>
      </c>
      <c r="G1916">
        <v>100000</v>
      </c>
      <c r="H1916">
        <v>4637.8818838244533</v>
      </c>
      <c r="I1916">
        <v>3000</v>
      </c>
      <c r="J1916">
        <v>500</v>
      </c>
      <c r="K1916">
        <v>30000</v>
      </c>
      <c r="L1916">
        <v>7018.2087399766433</v>
      </c>
      <c r="M1916">
        <v>5000</v>
      </c>
      <c r="N1916">
        <v>300</v>
      </c>
      <c r="O1916">
        <v>50000</v>
      </c>
      <c r="P1916">
        <v>6535.5861780504038</v>
      </c>
      <c r="Q1916">
        <v>12000</v>
      </c>
      <c r="R1916">
        <v>500</v>
      </c>
      <c r="S1916">
        <v>19200</v>
      </c>
      <c r="T1916">
        <v>3000</v>
      </c>
      <c r="U1916">
        <v>3000</v>
      </c>
      <c r="V1916">
        <v>3000</v>
      </c>
      <c r="W1916">
        <v>3000</v>
      </c>
      <c r="X1916">
        <v>13851.960039202821</v>
      </c>
      <c r="Y1916">
        <v>6000</v>
      </c>
      <c r="Z1916">
        <v>3000</v>
      </c>
      <c r="AA1916">
        <v>100000</v>
      </c>
      <c r="AB1916">
        <v>567</v>
      </c>
    </row>
    <row r="1917" spans="1:28" x14ac:dyDescent="0.25">
      <c r="A1917" t="s">
        <v>199</v>
      </c>
      <c r="B1917" t="s">
        <v>198</v>
      </c>
      <c r="C1917" t="s">
        <v>349</v>
      </c>
      <c r="D1917">
        <v>15874.17676898295</v>
      </c>
      <c r="E1917">
        <v>12000</v>
      </c>
      <c r="F1917">
        <v>1000</v>
      </c>
      <c r="G1917">
        <v>45000</v>
      </c>
      <c r="H1917">
        <v>7661.2022652371097</v>
      </c>
      <c r="I1917">
        <v>7000</v>
      </c>
      <c r="J1917">
        <v>1000</v>
      </c>
      <c r="K1917">
        <v>20000</v>
      </c>
      <c r="L1917">
        <v>7172.2085185299056</v>
      </c>
      <c r="M1917">
        <v>5000</v>
      </c>
      <c r="N1917">
        <v>500</v>
      </c>
      <c r="O1917">
        <v>60000</v>
      </c>
      <c r="P1917">
        <v>6157.780831710762</v>
      </c>
      <c r="Q1917">
        <v>3000</v>
      </c>
      <c r="R1917">
        <v>300</v>
      </c>
      <c r="S1917">
        <v>30000</v>
      </c>
      <c r="T1917">
        <v>10403.413770289601</v>
      </c>
      <c r="U1917">
        <v>20000</v>
      </c>
      <c r="V1917">
        <v>1500</v>
      </c>
      <c r="W1917">
        <v>25000</v>
      </c>
      <c r="X1917">
        <v>2595.261019603719</v>
      </c>
      <c r="Y1917">
        <v>3000</v>
      </c>
      <c r="Z1917">
        <v>700</v>
      </c>
      <c r="AA1917">
        <v>3000</v>
      </c>
      <c r="AB1917">
        <v>567</v>
      </c>
    </row>
    <row r="1918" spans="1:28" x14ac:dyDescent="0.25">
      <c r="A1918" t="s">
        <v>199</v>
      </c>
      <c r="B1918" t="s">
        <v>198</v>
      </c>
      <c r="C1918" t="s">
        <v>350</v>
      </c>
      <c r="D1918">
        <v>10636.998890704201</v>
      </c>
      <c r="E1918">
        <v>7000</v>
      </c>
      <c r="F1918">
        <v>300</v>
      </c>
      <c r="G1918">
        <v>70000</v>
      </c>
      <c r="H1918">
        <v>6478.2574052027794</v>
      </c>
      <c r="I1918">
        <v>5000</v>
      </c>
      <c r="J1918">
        <v>300</v>
      </c>
      <c r="K1918">
        <v>30000</v>
      </c>
      <c r="L1918">
        <v>10296.32531710193</v>
      </c>
      <c r="M1918">
        <v>5500</v>
      </c>
      <c r="N1918">
        <v>300</v>
      </c>
      <c r="O1918">
        <v>150000</v>
      </c>
      <c r="P1918">
        <v>10152.978740396229</v>
      </c>
      <c r="Q1918">
        <v>6000</v>
      </c>
      <c r="R1918">
        <v>300</v>
      </c>
      <c r="S1918">
        <v>35000</v>
      </c>
      <c r="T1918">
        <v>7409.2329352348288</v>
      </c>
      <c r="U1918">
        <v>6000</v>
      </c>
      <c r="V1918">
        <v>1000</v>
      </c>
      <c r="W1918">
        <v>60000</v>
      </c>
      <c r="X1918">
        <v>5825.1703190502958</v>
      </c>
      <c r="Y1918">
        <v>1800</v>
      </c>
      <c r="Z1918">
        <v>400</v>
      </c>
      <c r="AA1918">
        <v>48000</v>
      </c>
      <c r="AB1918">
        <v>567</v>
      </c>
    </row>
    <row r="1919" spans="1:28" x14ac:dyDescent="0.25">
      <c r="A1919" t="s">
        <v>200</v>
      </c>
      <c r="B1919" t="s">
        <v>198</v>
      </c>
      <c r="C1919" t="s">
        <v>348</v>
      </c>
      <c r="D1919">
        <v>24483.82975847671</v>
      </c>
      <c r="E1919">
        <v>6000</v>
      </c>
      <c r="F1919">
        <v>400</v>
      </c>
      <c r="G1919">
        <v>200000</v>
      </c>
      <c r="H1919">
        <v>13635.25922048662</v>
      </c>
      <c r="I1919">
        <v>8000</v>
      </c>
      <c r="J1919">
        <v>300</v>
      </c>
      <c r="K1919">
        <v>100000</v>
      </c>
      <c r="L1919">
        <v>15629.37744514746</v>
      </c>
      <c r="M1919">
        <v>7000</v>
      </c>
      <c r="N1919">
        <v>100</v>
      </c>
      <c r="O1919">
        <v>300000</v>
      </c>
      <c r="P1919">
        <v>11181.574979313949</v>
      </c>
      <c r="Q1919">
        <v>5000</v>
      </c>
      <c r="R1919">
        <v>250</v>
      </c>
      <c r="S1919">
        <v>100000</v>
      </c>
      <c r="T1919">
        <v>23085.127316074519</v>
      </c>
      <c r="U1919">
        <v>10000</v>
      </c>
      <c r="V1919">
        <v>600</v>
      </c>
      <c r="W1919">
        <v>240000</v>
      </c>
      <c r="X1919">
        <v>31592.105064141779</v>
      </c>
      <c r="Y1919">
        <v>15000</v>
      </c>
      <c r="Z1919">
        <v>4000</v>
      </c>
      <c r="AA1919">
        <v>180000</v>
      </c>
      <c r="AB1919">
        <v>567</v>
      </c>
    </row>
    <row r="1920" spans="1:28" x14ac:dyDescent="0.25">
      <c r="A1920" t="s">
        <v>200</v>
      </c>
      <c r="B1920" t="s">
        <v>198</v>
      </c>
      <c r="C1920" t="s">
        <v>349</v>
      </c>
      <c r="D1920">
        <v>5504.9521288423548</v>
      </c>
      <c r="E1920">
        <v>5000</v>
      </c>
      <c r="F1920">
        <v>500</v>
      </c>
      <c r="G1920">
        <v>100000</v>
      </c>
      <c r="H1920">
        <v>6169.7948270624302</v>
      </c>
      <c r="I1920">
        <v>5000</v>
      </c>
      <c r="J1920">
        <v>1000</v>
      </c>
      <c r="K1920">
        <v>22500</v>
      </c>
      <c r="L1920">
        <v>7409.119972720885</v>
      </c>
      <c r="M1920">
        <v>7000</v>
      </c>
      <c r="N1920">
        <v>500</v>
      </c>
      <c r="O1920">
        <v>50000</v>
      </c>
      <c r="P1920">
        <v>2180.810293069283</v>
      </c>
      <c r="Q1920">
        <v>1500</v>
      </c>
      <c r="R1920">
        <v>500</v>
      </c>
      <c r="S1920">
        <v>15000</v>
      </c>
      <c r="T1920">
        <v>9528.4091637507645</v>
      </c>
      <c r="U1920">
        <v>4200</v>
      </c>
      <c r="V1920">
        <v>3000</v>
      </c>
      <c r="W1920">
        <v>30000</v>
      </c>
      <c r="X1920">
        <v>50321.438386112917</v>
      </c>
      <c r="Y1920">
        <v>1000</v>
      </c>
      <c r="Z1920">
        <v>1000</v>
      </c>
      <c r="AA1920">
        <v>240000</v>
      </c>
      <c r="AB1920">
        <v>567</v>
      </c>
    </row>
    <row r="1921" spans="1:28" x14ac:dyDescent="0.25">
      <c r="A1921" t="s">
        <v>200</v>
      </c>
      <c r="B1921" t="s">
        <v>198</v>
      </c>
      <c r="C1921" t="s">
        <v>350</v>
      </c>
      <c r="D1921">
        <v>11369.917811799971</v>
      </c>
      <c r="E1921">
        <v>4000</v>
      </c>
      <c r="F1921">
        <v>350</v>
      </c>
      <c r="G1921">
        <v>70000</v>
      </c>
      <c r="H1921">
        <v>5087.0005093816826</v>
      </c>
      <c r="I1921">
        <v>4000</v>
      </c>
      <c r="J1921">
        <v>300</v>
      </c>
      <c r="K1921">
        <v>30000</v>
      </c>
      <c r="L1921">
        <v>5897.6072531805394</v>
      </c>
      <c r="M1921">
        <v>4000</v>
      </c>
      <c r="N1921">
        <v>300</v>
      </c>
      <c r="O1921">
        <v>49000</v>
      </c>
      <c r="P1921">
        <v>4400.7630861658081</v>
      </c>
      <c r="Q1921">
        <v>5000</v>
      </c>
      <c r="R1921">
        <v>450</v>
      </c>
      <c r="S1921">
        <v>12000</v>
      </c>
      <c r="T1921">
        <v>13348.202036024521</v>
      </c>
      <c r="U1921">
        <v>18000</v>
      </c>
      <c r="V1921">
        <v>250</v>
      </c>
      <c r="W1921">
        <v>40000</v>
      </c>
      <c r="AB1921">
        <v>567</v>
      </c>
    </row>
    <row r="1922" spans="1:28" x14ac:dyDescent="0.25">
      <c r="A1922" t="s">
        <v>201</v>
      </c>
      <c r="B1922" t="s">
        <v>198</v>
      </c>
      <c r="C1922" t="s">
        <v>348</v>
      </c>
      <c r="D1922">
        <v>5142.916022339572</v>
      </c>
      <c r="E1922">
        <v>3000</v>
      </c>
      <c r="F1922">
        <v>250</v>
      </c>
      <c r="G1922">
        <v>40000</v>
      </c>
      <c r="H1922">
        <v>7171.7800032149307</v>
      </c>
      <c r="I1922">
        <v>6000</v>
      </c>
      <c r="J1922">
        <v>1000</v>
      </c>
      <c r="K1922">
        <v>22000</v>
      </c>
      <c r="L1922">
        <v>14346.9172479641</v>
      </c>
      <c r="M1922">
        <v>6000</v>
      </c>
      <c r="N1922">
        <v>300</v>
      </c>
      <c r="O1922">
        <v>320000</v>
      </c>
      <c r="P1922">
        <v>5226.3514262298631</v>
      </c>
      <c r="Q1922">
        <v>5000</v>
      </c>
      <c r="R1922">
        <v>200</v>
      </c>
      <c r="S1922">
        <v>20000</v>
      </c>
      <c r="T1922">
        <v>11557.04669948447</v>
      </c>
      <c r="U1922">
        <v>15000</v>
      </c>
      <c r="V1922">
        <v>6000</v>
      </c>
      <c r="W1922">
        <v>30000</v>
      </c>
      <c r="X1922">
        <v>18075.741645400729</v>
      </c>
      <c r="Y1922">
        <v>19000</v>
      </c>
      <c r="Z1922">
        <v>5000</v>
      </c>
      <c r="AA1922">
        <v>19000</v>
      </c>
      <c r="AB1922">
        <v>567</v>
      </c>
    </row>
    <row r="1923" spans="1:28" x14ac:dyDescent="0.25">
      <c r="A1923" t="s">
        <v>201</v>
      </c>
      <c r="B1923" t="s">
        <v>198</v>
      </c>
      <c r="C1923" t="s">
        <v>349</v>
      </c>
      <c r="D1923">
        <v>23021.469497561018</v>
      </c>
      <c r="E1923">
        <v>15000</v>
      </c>
      <c r="F1923">
        <v>700</v>
      </c>
      <c r="G1923">
        <v>200000</v>
      </c>
      <c r="H1923">
        <v>8325.0559685819626</v>
      </c>
      <c r="I1923">
        <v>6000</v>
      </c>
      <c r="J1923">
        <v>300</v>
      </c>
      <c r="K1923">
        <v>60000</v>
      </c>
      <c r="L1923">
        <v>10243.0213878053</v>
      </c>
      <c r="M1923">
        <v>6000</v>
      </c>
      <c r="N1923">
        <v>350</v>
      </c>
      <c r="O1923">
        <v>100000</v>
      </c>
      <c r="P1923">
        <v>8322.3158214074701</v>
      </c>
      <c r="Q1923">
        <v>4000</v>
      </c>
      <c r="R1923">
        <v>1000</v>
      </c>
      <c r="S1923">
        <v>48000</v>
      </c>
      <c r="T1923">
        <v>7268.9768938985526</v>
      </c>
      <c r="U1923">
        <v>6000</v>
      </c>
      <c r="V1923">
        <v>2000</v>
      </c>
      <c r="W1923">
        <v>35000</v>
      </c>
      <c r="X1923">
        <v>3118.2127369949048</v>
      </c>
      <c r="Y1923">
        <v>4800</v>
      </c>
      <c r="Z1923">
        <v>2000</v>
      </c>
      <c r="AA1923">
        <v>4800</v>
      </c>
      <c r="AB1923">
        <v>567</v>
      </c>
    </row>
    <row r="1924" spans="1:28" x14ac:dyDescent="0.25">
      <c r="A1924" t="s">
        <v>201</v>
      </c>
      <c r="B1924" t="s">
        <v>198</v>
      </c>
      <c r="C1924" t="s">
        <v>350</v>
      </c>
      <c r="D1924">
        <v>35600.525227486563</v>
      </c>
      <c r="E1924">
        <v>12000</v>
      </c>
      <c r="F1924">
        <v>1000</v>
      </c>
      <c r="G1924">
        <v>200000</v>
      </c>
      <c r="H1924">
        <v>6713.7442669844213</v>
      </c>
      <c r="I1924">
        <v>5000</v>
      </c>
      <c r="J1924">
        <v>500</v>
      </c>
      <c r="K1924">
        <v>24000</v>
      </c>
      <c r="L1924">
        <v>6600.2415783506258</v>
      </c>
      <c r="M1924">
        <v>5000</v>
      </c>
      <c r="N1924">
        <v>100</v>
      </c>
      <c r="O1924">
        <v>50000</v>
      </c>
      <c r="P1924">
        <v>12386.65691067093</v>
      </c>
      <c r="Q1924">
        <v>18000</v>
      </c>
      <c r="R1924">
        <v>500</v>
      </c>
      <c r="S1924">
        <v>18000</v>
      </c>
      <c r="T1924">
        <v>10166.54955807682</v>
      </c>
      <c r="U1924">
        <v>7500</v>
      </c>
      <c r="V1924">
        <v>3000</v>
      </c>
      <c r="W1924">
        <v>30000</v>
      </c>
      <c r="X1924">
        <v>14971.612915278871</v>
      </c>
      <c r="Y1924">
        <v>7000</v>
      </c>
      <c r="Z1924">
        <v>5000</v>
      </c>
      <c r="AA1924">
        <v>30000</v>
      </c>
      <c r="AB1924">
        <v>567</v>
      </c>
    </row>
    <row r="1925" spans="1:28" x14ac:dyDescent="0.25">
      <c r="A1925" t="s">
        <v>202</v>
      </c>
      <c r="B1925" t="s">
        <v>198</v>
      </c>
      <c r="C1925" t="s">
        <v>348</v>
      </c>
      <c r="D1925">
        <v>9135.0525815441124</v>
      </c>
      <c r="E1925">
        <v>5000</v>
      </c>
      <c r="F1925">
        <v>500</v>
      </c>
      <c r="G1925">
        <v>100000</v>
      </c>
      <c r="H1925">
        <v>5879.7393762488746</v>
      </c>
      <c r="I1925">
        <v>5000</v>
      </c>
      <c r="J1925">
        <v>250</v>
      </c>
      <c r="K1925">
        <v>20000</v>
      </c>
      <c r="L1925">
        <v>12639.906422362321</v>
      </c>
      <c r="M1925">
        <v>6000</v>
      </c>
      <c r="N1925">
        <v>500</v>
      </c>
      <c r="O1925">
        <v>250000</v>
      </c>
      <c r="P1925">
        <v>6419.0300111099923</v>
      </c>
      <c r="Q1925">
        <v>5000</v>
      </c>
      <c r="R1925">
        <v>100</v>
      </c>
      <c r="S1925">
        <v>40000</v>
      </c>
      <c r="T1925">
        <v>18232.780620730849</v>
      </c>
      <c r="U1925">
        <v>33000</v>
      </c>
      <c r="V1925">
        <v>6000</v>
      </c>
      <c r="W1925">
        <v>33000</v>
      </c>
      <c r="X1925">
        <v>4000.313437846823</v>
      </c>
      <c r="Y1925">
        <v>800</v>
      </c>
      <c r="Z1925">
        <v>800</v>
      </c>
      <c r="AA1925">
        <v>9000</v>
      </c>
      <c r="AB1925">
        <v>567</v>
      </c>
    </row>
    <row r="1926" spans="1:28" x14ac:dyDescent="0.25">
      <c r="A1926" t="s">
        <v>199</v>
      </c>
      <c r="B1926" t="s">
        <v>203</v>
      </c>
      <c r="C1926" t="s">
        <v>348</v>
      </c>
      <c r="D1926">
        <v>26101.943663362908</v>
      </c>
      <c r="E1926">
        <v>13000</v>
      </c>
      <c r="F1926">
        <v>1000</v>
      </c>
      <c r="G1926">
        <v>200000</v>
      </c>
      <c r="H1926">
        <v>9675.4433498931285</v>
      </c>
      <c r="I1926">
        <v>7000</v>
      </c>
      <c r="J1926">
        <v>1500</v>
      </c>
      <c r="K1926">
        <v>50000</v>
      </c>
      <c r="L1926">
        <v>9800.287956486125</v>
      </c>
      <c r="M1926">
        <v>7500</v>
      </c>
      <c r="N1926">
        <v>500</v>
      </c>
      <c r="O1926">
        <v>60000</v>
      </c>
      <c r="P1926">
        <v>5952.313986542541</v>
      </c>
      <c r="Q1926">
        <v>6000</v>
      </c>
      <c r="R1926">
        <v>400</v>
      </c>
      <c r="S1926">
        <v>18000</v>
      </c>
      <c r="T1926">
        <v>3396.2436359943949</v>
      </c>
      <c r="U1926">
        <v>4200</v>
      </c>
      <c r="V1926">
        <v>1800</v>
      </c>
      <c r="W1926">
        <v>11000</v>
      </c>
      <c r="X1926">
        <v>62600.000000000007</v>
      </c>
      <c r="Y1926">
        <v>2200</v>
      </c>
      <c r="Z1926">
        <v>2200</v>
      </c>
      <c r="AA1926">
        <v>123000</v>
      </c>
      <c r="AB1926">
        <v>567</v>
      </c>
    </row>
    <row r="1927" spans="1:28" x14ac:dyDescent="0.25">
      <c r="A1927" t="s">
        <v>199</v>
      </c>
      <c r="B1927" t="s">
        <v>203</v>
      </c>
      <c r="C1927" t="s">
        <v>349</v>
      </c>
      <c r="D1927">
        <v>9449.1137111869521</v>
      </c>
      <c r="E1927">
        <v>8000</v>
      </c>
      <c r="F1927">
        <v>380</v>
      </c>
      <c r="G1927">
        <v>100000</v>
      </c>
      <c r="H1927">
        <v>10654.05964039764</v>
      </c>
      <c r="I1927">
        <v>7000</v>
      </c>
      <c r="J1927">
        <v>700</v>
      </c>
      <c r="K1927">
        <v>90000</v>
      </c>
      <c r="L1927">
        <v>10027.806706065319</v>
      </c>
      <c r="M1927">
        <v>4000</v>
      </c>
      <c r="N1927">
        <v>200</v>
      </c>
      <c r="O1927">
        <v>100000</v>
      </c>
      <c r="P1927">
        <v>5707.7485980277961</v>
      </c>
      <c r="Q1927">
        <v>5600</v>
      </c>
      <c r="R1927">
        <v>500</v>
      </c>
      <c r="S1927">
        <v>25000</v>
      </c>
      <c r="T1927">
        <v>7509.5008118498499</v>
      </c>
      <c r="U1927">
        <v>6000</v>
      </c>
      <c r="V1927">
        <v>500</v>
      </c>
      <c r="W1927">
        <v>26000</v>
      </c>
      <c r="X1927">
        <v>20768.012656920921</v>
      </c>
      <c r="Y1927">
        <v>13000</v>
      </c>
      <c r="Z1927">
        <v>800</v>
      </c>
      <c r="AA1927">
        <v>75000</v>
      </c>
      <c r="AB1927">
        <v>567</v>
      </c>
    </row>
    <row r="1928" spans="1:28" x14ac:dyDescent="0.25">
      <c r="A1928" t="s">
        <v>199</v>
      </c>
      <c r="B1928" t="s">
        <v>203</v>
      </c>
      <c r="C1928" t="s">
        <v>350</v>
      </c>
      <c r="D1928">
        <v>10617.082183594181</v>
      </c>
      <c r="E1928">
        <v>6000</v>
      </c>
      <c r="F1928">
        <v>200</v>
      </c>
      <c r="G1928">
        <v>200000</v>
      </c>
      <c r="H1928">
        <v>10490.98718252248</v>
      </c>
      <c r="I1928">
        <v>8000</v>
      </c>
      <c r="J1928">
        <v>300</v>
      </c>
      <c r="K1928">
        <v>60000</v>
      </c>
      <c r="L1928">
        <v>12160.172574793931</v>
      </c>
      <c r="M1928">
        <v>5000</v>
      </c>
      <c r="N1928">
        <v>300</v>
      </c>
      <c r="O1928">
        <v>350000</v>
      </c>
      <c r="P1928">
        <v>15577.57234896211</v>
      </c>
      <c r="Q1928">
        <v>9600</v>
      </c>
      <c r="R1928">
        <v>400</v>
      </c>
      <c r="S1928">
        <v>120000</v>
      </c>
      <c r="T1928">
        <v>23313.446898904738</v>
      </c>
      <c r="U1928">
        <v>10000</v>
      </c>
      <c r="V1928">
        <v>1000</v>
      </c>
      <c r="W1928">
        <v>100000</v>
      </c>
      <c r="X1928">
        <v>12053.8531610965</v>
      </c>
      <c r="Y1928">
        <v>6000</v>
      </c>
      <c r="Z1928">
        <v>600</v>
      </c>
      <c r="AA1928">
        <v>41000</v>
      </c>
      <c r="AB1928">
        <v>567</v>
      </c>
    </row>
    <row r="1929" spans="1:28" x14ac:dyDescent="0.25">
      <c r="A1929" t="s">
        <v>200</v>
      </c>
      <c r="B1929" t="s">
        <v>203</v>
      </c>
      <c r="C1929" t="s">
        <v>348</v>
      </c>
      <c r="D1929">
        <v>18399.333134227309</v>
      </c>
      <c r="E1929">
        <v>10000</v>
      </c>
      <c r="F1929">
        <v>300</v>
      </c>
      <c r="G1929">
        <v>300000</v>
      </c>
      <c r="H1929">
        <v>11821.19201410791</v>
      </c>
      <c r="I1929">
        <v>8000</v>
      </c>
      <c r="J1929">
        <v>300</v>
      </c>
      <c r="K1929">
        <v>200000</v>
      </c>
      <c r="L1929">
        <v>18872.935655015241</v>
      </c>
      <c r="M1929">
        <v>6500</v>
      </c>
      <c r="N1929">
        <v>100</v>
      </c>
      <c r="O1929">
        <v>400000</v>
      </c>
      <c r="P1929">
        <v>11688.445931875989</v>
      </c>
      <c r="Q1929">
        <v>6800</v>
      </c>
      <c r="R1929">
        <v>100</v>
      </c>
      <c r="S1929">
        <v>360000</v>
      </c>
      <c r="T1929">
        <v>36448.925530695087</v>
      </c>
      <c r="U1929">
        <v>16000</v>
      </c>
      <c r="V1929">
        <v>1000</v>
      </c>
      <c r="W1929">
        <v>120000</v>
      </c>
      <c r="X1929">
        <v>25143.997281542099</v>
      </c>
      <c r="Y1929">
        <v>10000</v>
      </c>
      <c r="Z1929">
        <v>300</v>
      </c>
      <c r="AA1929">
        <v>242800</v>
      </c>
      <c r="AB1929">
        <v>567</v>
      </c>
    </row>
    <row r="1930" spans="1:28" x14ac:dyDescent="0.25">
      <c r="A1930" t="s">
        <v>200</v>
      </c>
      <c r="B1930" t="s">
        <v>203</v>
      </c>
      <c r="C1930" t="s">
        <v>349</v>
      </c>
      <c r="D1930">
        <v>17746.87558085049</v>
      </c>
      <c r="E1930">
        <v>6000</v>
      </c>
      <c r="F1930">
        <v>1000</v>
      </c>
      <c r="G1930">
        <v>120000</v>
      </c>
      <c r="H1930">
        <v>11593.139711298991</v>
      </c>
      <c r="I1930">
        <v>7000</v>
      </c>
      <c r="J1930">
        <v>250</v>
      </c>
      <c r="K1930">
        <v>100000</v>
      </c>
      <c r="L1930">
        <v>14939.282898519959</v>
      </c>
      <c r="M1930">
        <v>4000</v>
      </c>
      <c r="N1930">
        <v>500</v>
      </c>
      <c r="O1930">
        <v>500000</v>
      </c>
      <c r="P1930">
        <v>5704.2687537995871</v>
      </c>
      <c r="Q1930">
        <v>3000</v>
      </c>
      <c r="R1930">
        <v>100</v>
      </c>
      <c r="S1930">
        <v>40000</v>
      </c>
      <c r="T1930">
        <v>9572.6692683685869</v>
      </c>
      <c r="U1930">
        <v>10000</v>
      </c>
      <c r="V1930">
        <v>300</v>
      </c>
      <c r="W1930">
        <v>30000</v>
      </c>
      <c r="X1930">
        <v>11733.27512369029</v>
      </c>
      <c r="Y1930">
        <v>18000</v>
      </c>
      <c r="Z1930">
        <v>300</v>
      </c>
      <c r="AA1930">
        <v>63000</v>
      </c>
      <c r="AB1930">
        <v>567</v>
      </c>
    </row>
    <row r="1931" spans="1:28" x14ac:dyDescent="0.25">
      <c r="A1931" t="s">
        <v>200</v>
      </c>
      <c r="B1931" t="s">
        <v>203</v>
      </c>
      <c r="C1931" t="s">
        <v>350</v>
      </c>
      <c r="D1931">
        <v>9316.3163587445088</v>
      </c>
      <c r="E1931">
        <v>5000</v>
      </c>
      <c r="F1931">
        <v>700</v>
      </c>
      <c r="G1931">
        <v>180000</v>
      </c>
      <c r="H1931">
        <v>8698.5863959665294</v>
      </c>
      <c r="I1931">
        <v>6000</v>
      </c>
      <c r="J1931">
        <v>500</v>
      </c>
      <c r="K1931">
        <v>30000</v>
      </c>
      <c r="L1931">
        <v>21769.702425590971</v>
      </c>
      <c r="M1931">
        <v>7000</v>
      </c>
      <c r="N1931">
        <v>200</v>
      </c>
      <c r="O1931">
        <v>300000</v>
      </c>
      <c r="P1931">
        <v>8707.7064866540768</v>
      </c>
      <c r="Q1931">
        <v>5000</v>
      </c>
      <c r="R1931">
        <v>500</v>
      </c>
      <c r="S1931">
        <v>60000</v>
      </c>
      <c r="T1931">
        <v>13497.07765122986</v>
      </c>
      <c r="U1931">
        <v>12000</v>
      </c>
      <c r="V1931">
        <v>6000</v>
      </c>
      <c r="W1931">
        <v>50000</v>
      </c>
      <c r="X1931">
        <v>18952.12821143831</v>
      </c>
      <c r="Y1931">
        <v>10000</v>
      </c>
      <c r="Z1931">
        <v>2000</v>
      </c>
      <c r="AA1931">
        <v>44000</v>
      </c>
      <c r="AB1931">
        <v>567</v>
      </c>
    </row>
    <row r="1932" spans="1:28" x14ac:dyDescent="0.25">
      <c r="A1932" t="s">
        <v>201</v>
      </c>
      <c r="B1932" t="s">
        <v>203</v>
      </c>
      <c r="C1932" t="s">
        <v>348</v>
      </c>
      <c r="D1932">
        <v>4429.627645976826</v>
      </c>
      <c r="E1932">
        <v>2000</v>
      </c>
      <c r="F1932">
        <v>600</v>
      </c>
      <c r="G1932">
        <v>40000</v>
      </c>
      <c r="H1932">
        <v>10019.633423472011</v>
      </c>
      <c r="I1932">
        <v>8000</v>
      </c>
      <c r="J1932">
        <v>600</v>
      </c>
      <c r="K1932">
        <v>52000</v>
      </c>
      <c r="L1932">
        <v>11600.17630631758</v>
      </c>
      <c r="M1932">
        <v>6000</v>
      </c>
      <c r="N1932">
        <v>400</v>
      </c>
      <c r="O1932">
        <v>40000</v>
      </c>
      <c r="P1932">
        <v>9212.546141631432</v>
      </c>
      <c r="Q1932">
        <v>5000</v>
      </c>
      <c r="R1932">
        <v>1000</v>
      </c>
      <c r="S1932">
        <v>29000</v>
      </c>
      <c r="T1932">
        <v>349828.73477122549</v>
      </c>
      <c r="U1932">
        <v>570000</v>
      </c>
      <c r="V1932">
        <v>1800</v>
      </c>
      <c r="W1932">
        <v>570000</v>
      </c>
      <c r="X1932">
        <v>12500</v>
      </c>
      <c r="Y1932">
        <v>8000</v>
      </c>
      <c r="Z1932">
        <v>8000</v>
      </c>
      <c r="AA1932">
        <v>17000</v>
      </c>
      <c r="AB1932">
        <v>567</v>
      </c>
    </row>
    <row r="1933" spans="1:28" x14ac:dyDescent="0.25">
      <c r="A1933" t="s">
        <v>201</v>
      </c>
      <c r="B1933" t="s">
        <v>203</v>
      </c>
      <c r="C1933" t="s">
        <v>349</v>
      </c>
      <c r="D1933">
        <v>10951.893647648059</v>
      </c>
      <c r="E1933">
        <v>8000</v>
      </c>
      <c r="F1933">
        <v>1000</v>
      </c>
      <c r="G1933">
        <v>400000</v>
      </c>
      <c r="H1933">
        <v>11929.236090371</v>
      </c>
      <c r="I1933">
        <v>8000</v>
      </c>
      <c r="J1933">
        <v>200</v>
      </c>
      <c r="K1933">
        <v>100000</v>
      </c>
      <c r="L1933">
        <v>10497.52501020276</v>
      </c>
      <c r="M1933">
        <v>6000</v>
      </c>
      <c r="N1933">
        <v>300</v>
      </c>
      <c r="O1933">
        <v>200000</v>
      </c>
      <c r="P1933">
        <v>10062.1303893248</v>
      </c>
      <c r="Q1933">
        <v>7200</v>
      </c>
      <c r="R1933">
        <v>500</v>
      </c>
      <c r="S1933">
        <v>25000</v>
      </c>
      <c r="T1933">
        <v>11576.479245748071</v>
      </c>
      <c r="U1933">
        <v>10000</v>
      </c>
      <c r="V1933">
        <v>300</v>
      </c>
      <c r="W1933">
        <v>50000</v>
      </c>
      <c r="X1933">
        <v>17783.12606708119</v>
      </c>
      <c r="Y1933">
        <v>15000</v>
      </c>
      <c r="Z1933">
        <v>3000</v>
      </c>
      <c r="AA1933">
        <v>80000</v>
      </c>
      <c r="AB1933">
        <v>567</v>
      </c>
    </row>
    <row r="1934" spans="1:28" x14ac:dyDescent="0.25">
      <c r="A1934" t="s">
        <v>201</v>
      </c>
      <c r="B1934" t="s">
        <v>203</v>
      </c>
      <c r="C1934" t="s">
        <v>350</v>
      </c>
      <c r="D1934">
        <v>13154.473211046599</v>
      </c>
      <c r="E1934">
        <v>10000</v>
      </c>
      <c r="F1934">
        <v>500</v>
      </c>
      <c r="G1934">
        <v>100000</v>
      </c>
      <c r="H1934">
        <v>5094.4308795321613</v>
      </c>
      <c r="I1934">
        <v>3000</v>
      </c>
      <c r="J1934">
        <v>250</v>
      </c>
      <c r="K1934">
        <v>20000</v>
      </c>
      <c r="L1934">
        <v>13030.008301270391</v>
      </c>
      <c r="M1934">
        <v>6000</v>
      </c>
      <c r="N1934">
        <v>500</v>
      </c>
      <c r="O1934">
        <v>100000</v>
      </c>
      <c r="P1934">
        <v>8073.1054146302449</v>
      </c>
      <c r="Q1934">
        <v>6000</v>
      </c>
      <c r="R1934">
        <v>300</v>
      </c>
      <c r="S1934">
        <v>30000</v>
      </c>
      <c r="T1934">
        <v>10925.629006835141</v>
      </c>
      <c r="U1934">
        <v>6000</v>
      </c>
      <c r="V1934">
        <v>2000</v>
      </c>
      <c r="W1934">
        <v>54000</v>
      </c>
      <c r="X1934">
        <v>2665.7306982879641</v>
      </c>
      <c r="Y1934">
        <v>3000</v>
      </c>
      <c r="Z1934">
        <v>1500</v>
      </c>
      <c r="AA1934">
        <v>5000</v>
      </c>
      <c r="AB1934">
        <v>567</v>
      </c>
    </row>
    <row r="1935" spans="1:28" x14ac:dyDescent="0.25">
      <c r="A1935" t="s">
        <v>202</v>
      </c>
      <c r="B1935" t="s">
        <v>203</v>
      </c>
      <c r="C1935" t="s">
        <v>348</v>
      </c>
      <c r="D1935">
        <v>27035.171363469981</v>
      </c>
      <c r="E1935">
        <v>4000</v>
      </c>
      <c r="F1935">
        <v>800</v>
      </c>
      <c r="G1935">
        <v>200000</v>
      </c>
      <c r="H1935">
        <v>12697.774521981901</v>
      </c>
      <c r="I1935">
        <v>9000</v>
      </c>
      <c r="J1935">
        <v>100</v>
      </c>
      <c r="K1935">
        <v>90000</v>
      </c>
      <c r="L1935">
        <v>9583.7233363467403</v>
      </c>
      <c r="M1935">
        <v>5300</v>
      </c>
      <c r="N1935">
        <v>200</v>
      </c>
      <c r="O1935">
        <v>80000</v>
      </c>
      <c r="P1935">
        <v>9380.4793315009774</v>
      </c>
      <c r="Q1935">
        <v>5600</v>
      </c>
      <c r="R1935">
        <v>500</v>
      </c>
      <c r="S1935">
        <v>45000</v>
      </c>
      <c r="T1935">
        <v>31140.253019754859</v>
      </c>
      <c r="U1935">
        <v>30000</v>
      </c>
      <c r="V1935">
        <v>12560</v>
      </c>
      <c r="W1935">
        <v>65000</v>
      </c>
      <c r="X1935">
        <v>5499.9999999999991</v>
      </c>
      <c r="Y1935">
        <v>3000</v>
      </c>
      <c r="Z1935">
        <v>3000</v>
      </c>
      <c r="AA1935">
        <v>8000</v>
      </c>
      <c r="AB1935">
        <v>567</v>
      </c>
    </row>
    <row r="1936" spans="1:28" x14ac:dyDescent="0.25">
      <c r="A1936" t="s">
        <v>204</v>
      </c>
      <c r="B1936" t="s">
        <v>204</v>
      </c>
      <c r="C1936" t="s">
        <v>204</v>
      </c>
      <c r="D1936">
        <v>15956.07130934242</v>
      </c>
      <c r="E1936">
        <v>6500</v>
      </c>
      <c r="F1936">
        <v>200</v>
      </c>
      <c r="G1936">
        <v>400000</v>
      </c>
      <c r="H1936">
        <v>10335.56837086188</v>
      </c>
      <c r="I1936">
        <v>7000</v>
      </c>
      <c r="J1936">
        <v>100</v>
      </c>
      <c r="K1936">
        <v>200000</v>
      </c>
      <c r="L1936">
        <v>13787.317757833751</v>
      </c>
      <c r="M1936">
        <v>5000</v>
      </c>
      <c r="N1936">
        <v>100</v>
      </c>
      <c r="O1936">
        <v>500000</v>
      </c>
      <c r="P1936">
        <v>9832.1782156184236</v>
      </c>
      <c r="Q1936">
        <v>5000</v>
      </c>
      <c r="R1936">
        <v>100</v>
      </c>
      <c r="S1936">
        <v>360000</v>
      </c>
      <c r="T1936">
        <v>47368.462712267683</v>
      </c>
      <c r="U1936">
        <v>10000</v>
      </c>
      <c r="V1936">
        <v>250</v>
      </c>
      <c r="W1936">
        <v>2000100</v>
      </c>
      <c r="X1936">
        <v>20569.206055084851</v>
      </c>
      <c r="Y1936">
        <v>9000</v>
      </c>
      <c r="Z1936">
        <v>300</v>
      </c>
      <c r="AA1936">
        <v>242800</v>
      </c>
      <c r="AB1936">
        <v>567</v>
      </c>
    </row>
    <row r="1938" spans="1:10" x14ac:dyDescent="0.25">
      <c r="A1938" t="s">
        <v>569</v>
      </c>
    </row>
    <row r="1939" spans="1:10" x14ac:dyDescent="0.25">
      <c r="A1939" t="s">
        <v>189</v>
      </c>
      <c r="B1939" t="s">
        <v>190</v>
      </c>
      <c r="C1939" t="s">
        <v>191</v>
      </c>
      <c r="D1939" t="s">
        <v>192</v>
      </c>
      <c r="E1939" t="s">
        <v>193</v>
      </c>
      <c r="F1939" t="s">
        <v>194</v>
      </c>
      <c r="G1939" t="s">
        <v>195</v>
      </c>
      <c r="H1939" t="s">
        <v>196</v>
      </c>
    </row>
    <row r="1940" spans="1:10" x14ac:dyDescent="0.25">
      <c r="A1940" t="s">
        <v>197</v>
      </c>
      <c r="B1940" t="s">
        <v>198</v>
      </c>
      <c r="C1940">
        <v>13210.11330688359</v>
      </c>
      <c r="D1940">
        <v>5691.6666666666697</v>
      </c>
      <c r="E1940">
        <v>198</v>
      </c>
      <c r="F1940">
        <v>335491.66666666698</v>
      </c>
      <c r="G1940">
        <v>79</v>
      </c>
      <c r="H1940">
        <v>2587</v>
      </c>
    </row>
    <row r="1941" spans="1:10" x14ac:dyDescent="0.25">
      <c r="A1941" t="s">
        <v>199</v>
      </c>
      <c r="B1941" t="s">
        <v>198</v>
      </c>
      <c r="C1941">
        <v>6665.3920298032863</v>
      </c>
      <c r="D1941">
        <v>6275</v>
      </c>
      <c r="E1941">
        <v>115</v>
      </c>
      <c r="F1941">
        <v>28380</v>
      </c>
      <c r="G1941">
        <v>363</v>
      </c>
      <c r="H1941">
        <v>2587</v>
      </c>
    </row>
    <row r="1942" spans="1:10" x14ac:dyDescent="0.25">
      <c r="A1942" t="s">
        <v>200</v>
      </c>
      <c r="B1942" t="s">
        <v>198</v>
      </c>
      <c r="C1942">
        <v>8434.1311662887456</v>
      </c>
      <c r="D1942">
        <v>6994.4444444444398</v>
      </c>
      <c r="E1942">
        <v>350</v>
      </c>
      <c r="F1942">
        <v>62783.333333333299</v>
      </c>
      <c r="G1942">
        <v>377</v>
      </c>
      <c r="H1942">
        <v>2587</v>
      </c>
    </row>
    <row r="1943" spans="1:10" x14ac:dyDescent="0.25">
      <c r="A1943" t="s">
        <v>201</v>
      </c>
      <c r="B1943" t="s">
        <v>198</v>
      </c>
      <c r="C1943">
        <v>6708.326424837479</v>
      </c>
      <c r="D1943">
        <v>5341.6666666666697</v>
      </c>
      <c r="E1943">
        <v>25</v>
      </c>
      <c r="F1943">
        <v>27466.666666666701</v>
      </c>
      <c r="G1943">
        <v>249</v>
      </c>
      <c r="H1943">
        <v>2587</v>
      </c>
    </row>
    <row r="1944" spans="1:10" x14ac:dyDescent="0.25">
      <c r="A1944" t="s">
        <v>202</v>
      </c>
      <c r="B1944" t="s">
        <v>198</v>
      </c>
      <c r="C1944">
        <v>8021.5470699908892</v>
      </c>
      <c r="D1944">
        <v>5958.5</v>
      </c>
      <c r="E1944">
        <v>75</v>
      </c>
      <c r="F1944">
        <v>42750</v>
      </c>
      <c r="G1944">
        <v>96</v>
      </c>
      <c r="H1944">
        <v>2587</v>
      </c>
    </row>
    <row r="1945" spans="1:10" x14ac:dyDescent="0.25">
      <c r="A1945" t="s">
        <v>199</v>
      </c>
      <c r="B1945" t="s">
        <v>203</v>
      </c>
      <c r="C1945">
        <v>7432.7015064917668</v>
      </c>
      <c r="D1945">
        <v>5977.7777777777801</v>
      </c>
      <c r="E1945">
        <v>100</v>
      </c>
      <c r="F1945">
        <v>41833.333333333299</v>
      </c>
      <c r="G1945">
        <v>519</v>
      </c>
      <c r="H1945">
        <v>2587</v>
      </c>
    </row>
    <row r="1946" spans="1:10" x14ac:dyDescent="0.25">
      <c r="A1946" t="s">
        <v>200</v>
      </c>
      <c r="B1946" t="s">
        <v>203</v>
      </c>
      <c r="C1946">
        <v>10647.18296309003</v>
      </c>
      <c r="D1946">
        <v>7994.4444444444498</v>
      </c>
      <c r="E1946">
        <v>153.333333333333</v>
      </c>
      <c r="F1946">
        <v>91633.333333333299</v>
      </c>
      <c r="G1946">
        <v>501</v>
      </c>
      <c r="H1946">
        <v>2587</v>
      </c>
    </row>
    <row r="1947" spans="1:10" x14ac:dyDescent="0.25">
      <c r="A1947" t="s">
        <v>201</v>
      </c>
      <c r="B1947" t="s">
        <v>203</v>
      </c>
      <c r="C1947">
        <v>7407.5285737437889</v>
      </c>
      <c r="D1947">
        <v>6012.2222222222199</v>
      </c>
      <c r="E1947">
        <v>250</v>
      </c>
      <c r="F1947">
        <v>47458.333333333299</v>
      </c>
      <c r="G1947">
        <v>315</v>
      </c>
      <c r="H1947">
        <v>2587</v>
      </c>
    </row>
    <row r="1948" spans="1:10" x14ac:dyDescent="0.25">
      <c r="A1948" t="s">
        <v>202</v>
      </c>
      <c r="B1948" t="s">
        <v>203</v>
      </c>
      <c r="C1948">
        <v>7670.3514593810241</v>
      </c>
      <c r="D1948">
        <v>6516.6666666666697</v>
      </c>
      <c r="E1948">
        <v>700</v>
      </c>
      <c r="F1948">
        <v>27033.333333333299</v>
      </c>
      <c r="G1948">
        <v>88</v>
      </c>
      <c r="H1948">
        <v>2587</v>
      </c>
    </row>
    <row r="1949" spans="1:10" x14ac:dyDescent="0.25">
      <c r="A1949" t="s">
        <v>204</v>
      </c>
      <c r="B1949" t="s">
        <v>204</v>
      </c>
      <c r="C1949">
        <v>8852.2164412141428</v>
      </c>
      <c r="D1949">
        <v>6708.3333333333303</v>
      </c>
      <c r="E1949">
        <v>25</v>
      </c>
      <c r="F1949">
        <v>335491.66666666698</v>
      </c>
      <c r="G1949">
        <v>2587</v>
      </c>
      <c r="H1949">
        <v>2587</v>
      </c>
    </row>
    <row r="1951" spans="1:10" x14ac:dyDescent="0.25">
      <c r="A1951" t="s">
        <v>570</v>
      </c>
    </row>
    <row r="1952" spans="1:10" x14ac:dyDescent="0.25">
      <c r="A1952" t="s">
        <v>189</v>
      </c>
      <c r="B1952" t="s">
        <v>190</v>
      </c>
      <c r="C1952" t="s">
        <v>206</v>
      </c>
      <c r="D1952" t="s">
        <v>529</v>
      </c>
      <c r="E1952" t="s">
        <v>191</v>
      </c>
      <c r="F1952" t="s">
        <v>192</v>
      </c>
      <c r="G1952" t="s">
        <v>193</v>
      </c>
      <c r="H1952" t="s">
        <v>194</v>
      </c>
      <c r="I1952" t="s">
        <v>195</v>
      </c>
      <c r="J1952" t="s">
        <v>196</v>
      </c>
    </row>
    <row r="1953" spans="1:10" x14ac:dyDescent="0.25">
      <c r="A1953" t="s">
        <v>197</v>
      </c>
      <c r="B1953" t="s">
        <v>198</v>
      </c>
      <c r="C1953" t="s">
        <v>228</v>
      </c>
      <c r="D1953" t="s">
        <v>530</v>
      </c>
      <c r="E1953">
        <v>4902.922610870568</v>
      </c>
      <c r="F1953">
        <v>4066.6666666666702</v>
      </c>
      <c r="G1953">
        <v>198</v>
      </c>
      <c r="H1953">
        <v>23850</v>
      </c>
      <c r="I1953">
        <v>31</v>
      </c>
      <c r="J1953">
        <v>2587</v>
      </c>
    </row>
    <row r="1954" spans="1:10" x14ac:dyDescent="0.25">
      <c r="A1954" t="s">
        <v>197</v>
      </c>
      <c r="B1954" t="s">
        <v>198</v>
      </c>
      <c r="C1954" t="s">
        <v>229</v>
      </c>
      <c r="D1954" t="s">
        <v>530</v>
      </c>
      <c r="E1954">
        <v>19310.71041618309</v>
      </c>
      <c r="F1954">
        <v>6883.3333333333303</v>
      </c>
      <c r="G1954">
        <v>250</v>
      </c>
      <c r="H1954">
        <v>335491.66666666698</v>
      </c>
      <c r="I1954">
        <v>48</v>
      </c>
      <c r="J1954">
        <v>2587</v>
      </c>
    </row>
    <row r="1955" spans="1:10" x14ac:dyDescent="0.25">
      <c r="A1955" t="s">
        <v>199</v>
      </c>
      <c r="B1955" t="s">
        <v>198</v>
      </c>
      <c r="C1955" t="s">
        <v>228</v>
      </c>
      <c r="D1955" t="s">
        <v>530</v>
      </c>
      <c r="E1955">
        <v>6396.682262311364</v>
      </c>
      <c r="F1955">
        <v>4991.6666666666697</v>
      </c>
      <c r="G1955">
        <v>291.66666666666703</v>
      </c>
      <c r="H1955">
        <v>24570</v>
      </c>
      <c r="I1955">
        <v>143</v>
      </c>
      <c r="J1955">
        <v>2587</v>
      </c>
    </row>
    <row r="1956" spans="1:10" x14ac:dyDescent="0.25">
      <c r="A1956" t="s">
        <v>199</v>
      </c>
      <c r="B1956" t="s">
        <v>198</v>
      </c>
      <c r="C1956" t="s">
        <v>229</v>
      </c>
      <c r="D1956" t="s">
        <v>530</v>
      </c>
      <c r="E1956">
        <v>6791.0828512419057</v>
      </c>
      <c r="F1956">
        <v>6616.6666666666697</v>
      </c>
      <c r="G1956">
        <v>115</v>
      </c>
      <c r="H1956">
        <v>28380</v>
      </c>
      <c r="I1956">
        <v>210</v>
      </c>
      <c r="J1956">
        <v>2587</v>
      </c>
    </row>
    <row r="1957" spans="1:10" x14ac:dyDescent="0.25">
      <c r="A1957" t="s">
        <v>200</v>
      </c>
      <c r="B1957" t="s">
        <v>198</v>
      </c>
      <c r="C1957" t="s">
        <v>228</v>
      </c>
      <c r="D1957" t="s">
        <v>530</v>
      </c>
      <c r="E1957">
        <v>7250.6022518472428</v>
      </c>
      <c r="F1957">
        <v>5266.6666666666697</v>
      </c>
      <c r="G1957">
        <v>350</v>
      </c>
      <c r="H1957">
        <v>29488.888888888901</v>
      </c>
      <c r="I1957">
        <v>109</v>
      </c>
      <c r="J1957">
        <v>2587</v>
      </c>
    </row>
    <row r="1958" spans="1:10" x14ac:dyDescent="0.25">
      <c r="A1958" t="s">
        <v>200</v>
      </c>
      <c r="B1958" t="s">
        <v>198</v>
      </c>
      <c r="C1958" t="s">
        <v>229</v>
      </c>
      <c r="D1958" t="s">
        <v>530</v>
      </c>
      <c r="E1958">
        <v>8804.9309089672297</v>
      </c>
      <c r="F1958">
        <v>7300</v>
      </c>
      <c r="G1958">
        <v>440</v>
      </c>
      <c r="H1958">
        <v>62783.333333333299</v>
      </c>
      <c r="I1958">
        <v>263</v>
      </c>
      <c r="J1958">
        <v>2587</v>
      </c>
    </row>
    <row r="1959" spans="1:10" x14ac:dyDescent="0.25">
      <c r="A1959" t="s">
        <v>201</v>
      </c>
      <c r="B1959" t="s">
        <v>198</v>
      </c>
      <c r="C1959" t="s">
        <v>228</v>
      </c>
      <c r="D1959" t="s">
        <v>530</v>
      </c>
      <c r="E1959">
        <v>4661.7793944487266</v>
      </c>
      <c r="F1959">
        <v>3900</v>
      </c>
      <c r="G1959">
        <v>100</v>
      </c>
      <c r="H1959">
        <v>14888.8888888889</v>
      </c>
      <c r="I1959">
        <v>94</v>
      </c>
      <c r="J1959">
        <v>2587</v>
      </c>
    </row>
    <row r="1960" spans="1:10" x14ac:dyDescent="0.25">
      <c r="A1960" t="s">
        <v>201</v>
      </c>
      <c r="B1960" t="s">
        <v>198</v>
      </c>
      <c r="C1960" t="s">
        <v>229</v>
      </c>
      <c r="D1960" t="s">
        <v>530</v>
      </c>
      <c r="E1960">
        <v>7314.3907012131849</v>
      </c>
      <c r="F1960">
        <v>5977.7777777777801</v>
      </c>
      <c r="G1960">
        <v>25</v>
      </c>
      <c r="H1960">
        <v>27466.666666666701</v>
      </c>
      <c r="I1960">
        <v>150</v>
      </c>
      <c r="J1960">
        <v>2587</v>
      </c>
    </row>
    <row r="1961" spans="1:10" s="29" customFormat="1" x14ac:dyDescent="0.25">
      <c r="A1961" s="29" t="s">
        <v>202</v>
      </c>
      <c r="B1961" s="29" t="s">
        <v>198</v>
      </c>
      <c r="C1961" s="29" t="s">
        <v>228</v>
      </c>
      <c r="D1961" s="29" t="s">
        <v>530</v>
      </c>
      <c r="E1961" s="29">
        <v>4778.6194173612148</v>
      </c>
      <c r="F1961" s="29">
        <v>5316.6666666666697</v>
      </c>
      <c r="G1961" s="29">
        <v>1366.6666666666699</v>
      </c>
      <c r="H1961" s="29">
        <v>25783.333333333299</v>
      </c>
      <c r="I1961" s="29">
        <v>28</v>
      </c>
      <c r="J1961" s="29">
        <v>2587</v>
      </c>
    </row>
    <row r="1962" spans="1:10" x14ac:dyDescent="0.25">
      <c r="A1962" t="s">
        <v>202</v>
      </c>
      <c r="B1962" t="s">
        <v>198</v>
      </c>
      <c r="C1962" t="s">
        <v>229</v>
      </c>
      <c r="D1962" t="s">
        <v>530</v>
      </c>
      <c r="E1962">
        <v>9025.5734996633073</v>
      </c>
      <c r="F1962">
        <v>7912.5</v>
      </c>
      <c r="G1962">
        <v>75</v>
      </c>
      <c r="H1962">
        <v>42750</v>
      </c>
      <c r="I1962">
        <v>68</v>
      </c>
      <c r="J1962">
        <v>2587</v>
      </c>
    </row>
    <row r="1963" spans="1:10" x14ac:dyDescent="0.25">
      <c r="A1963" t="s">
        <v>199</v>
      </c>
      <c r="B1963" t="s">
        <v>203</v>
      </c>
      <c r="C1963" t="s">
        <v>228</v>
      </c>
      <c r="D1963" t="s">
        <v>530</v>
      </c>
      <c r="E1963">
        <v>8410.3314458499226</v>
      </c>
      <c r="F1963">
        <v>6206.6666666666697</v>
      </c>
      <c r="G1963">
        <v>100</v>
      </c>
      <c r="H1963">
        <v>33250</v>
      </c>
      <c r="I1963">
        <v>146</v>
      </c>
      <c r="J1963">
        <v>2587</v>
      </c>
    </row>
    <row r="1964" spans="1:10" x14ac:dyDescent="0.25">
      <c r="A1964" t="s">
        <v>199</v>
      </c>
      <c r="B1964" t="s">
        <v>203</v>
      </c>
      <c r="C1964" t="s">
        <v>229</v>
      </c>
      <c r="D1964" t="s">
        <v>530</v>
      </c>
      <c r="E1964">
        <v>7326.8107737271539</v>
      </c>
      <c r="F1964">
        <v>6033.3333333333303</v>
      </c>
      <c r="G1964">
        <v>150</v>
      </c>
      <c r="H1964">
        <v>41833.333333333299</v>
      </c>
      <c r="I1964">
        <v>364</v>
      </c>
      <c r="J1964">
        <v>2587</v>
      </c>
    </row>
    <row r="1965" spans="1:10" x14ac:dyDescent="0.25">
      <c r="A1965" t="s">
        <v>200</v>
      </c>
      <c r="B1965" t="s">
        <v>203</v>
      </c>
      <c r="C1965" t="s">
        <v>228</v>
      </c>
      <c r="D1965" t="s">
        <v>530</v>
      </c>
      <c r="E1965">
        <v>9103.1617606804502</v>
      </c>
      <c r="F1965">
        <v>7050</v>
      </c>
      <c r="G1965">
        <v>233.333333333333</v>
      </c>
      <c r="H1965">
        <v>77666.666666666701</v>
      </c>
      <c r="I1965">
        <v>154</v>
      </c>
      <c r="J1965">
        <v>2587</v>
      </c>
    </row>
    <row r="1966" spans="1:10" x14ac:dyDescent="0.25">
      <c r="A1966" t="s">
        <v>200</v>
      </c>
      <c r="B1966" t="s">
        <v>203</v>
      </c>
      <c r="C1966" t="s">
        <v>229</v>
      </c>
      <c r="D1966" t="s">
        <v>530</v>
      </c>
      <c r="E1966">
        <v>11013.33127445772</v>
      </c>
      <c r="F1966">
        <v>8356.6666666666697</v>
      </c>
      <c r="G1966">
        <v>153.333333333333</v>
      </c>
      <c r="H1966">
        <v>91633.333333333299</v>
      </c>
      <c r="I1966">
        <v>346</v>
      </c>
      <c r="J1966">
        <v>2587</v>
      </c>
    </row>
    <row r="1967" spans="1:10" x14ac:dyDescent="0.25">
      <c r="A1967" t="s">
        <v>201</v>
      </c>
      <c r="B1967" t="s">
        <v>203</v>
      </c>
      <c r="C1967" t="s">
        <v>228</v>
      </c>
      <c r="D1967" t="s">
        <v>530</v>
      </c>
      <c r="E1967">
        <v>5096.4169964398034</v>
      </c>
      <c r="F1967">
        <v>4091.6666666666702</v>
      </c>
      <c r="G1967">
        <v>485</v>
      </c>
      <c r="H1967">
        <v>47458.333333333299</v>
      </c>
      <c r="I1967">
        <v>176</v>
      </c>
      <c r="J1967">
        <v>2587</v>
      </c>
    </row>
    <row r="1968" spans="1:10" x14ac:dyDescent="0.25">
      <c r="A1968" t="s">
        <v>201</v>
      </c>
      <c r="B1968" t="s">
        <v>203</v>
      </c>
      <c r="C1968" t="s">
        <v>229</v>
      </c>
      <c r="D1968" t="s">
        <v>530</v>
      </c>
      <c r="E1968">
        <v>8140.4225894981537</v>
      </c>
      <c r="F1968">
        <v>6783.3333333333303</v>
      </c>
      <c r="G1968">
        <v>250</v>
      </c>
      <c r="H1968">
        <v>31833.333333333299</v>
      </c>
      <c r="I1968">
        <v>134</v>
      </c>
      <c r="J1968">
        <v>2587</v>
      </c>
    </row>
    <row r="1969" spans="1:10" x14ac:dyDescent="0.25">
      <c r="A1969" t="s">
        <v>202</v>
      </c>
      <c r="B1969" t="s">
        <v>203</v>
      </c>
      <c r="C1969" t="s">
        <v>228</v>
      </c>
      <c r="D1969" t="s">
        <v>530</v>
      </c>
      <c r="E1969">
        <v>6683.8110539643048</v>
      </c>
      <c r="F1969">
        <v>6104.1666666666697</v>
      </c>
      <c r="G1969">
        <v>1000</v>
      </c>
      <c r="H1969">
        <v>26321.666666666701</v>
      </c>
      <c r="I1969">
        <v>34</v>
      </c>
      <c r="J1969">
        <v>2587</v>
      </c>
    </row>
    <row r="1970" spans="1:10" x14ac:dyDescent="0.25">
      <c r="A1970" t="s">
        <v>202</v>
      </c>
      <c r="B1970" t="s">
        <v>203</v>
      </c>
      <c r="C1970" t="s">
        <v>229</v>
      </c>
      <c r="D1970" t="s">
        <v>530</v>
      </c>
      <c r="E1970">
        <v>8067.5736440206256</v>
      </c>
      <c r="F1970">
        <v>7050</v>
      </c>
      <c r="G1970">
        <v>700</v>
      </c>
      <c r="H1970">
        <v>27033.333333333299</v>
      </c>
      <c r="I1970">
        <v>54</v>
      </c>
      <c r="J1970">
        <v>2587</v>
      </c>
    </row>
    <row r="1971" spans="1:10" x14ac:dyDescent="0.25">
      <c r="A1971" t="s">
        <v>204</v>
      </c>
      <c r="B1971" t="s">
        <v>204</v>
      </c>
      <c r="C1971" t="s">
        <v>204</v>
      </c>
      <c r="D1971" t="s">
        <v>204</v>
      </c>
      <c r="E1971">
        <v>8852.2164412141428</v>
      </c>
      <c r="F1971">
        <v>6708.3333333333303</v>
      </c>
      <c r="G1971">
        <v>25</v>
      </c>
      <c r="H1971">
        <v>335491.66666666698</v>
      </c>
      <c r="I1971">
        <v>2587</v>
      </c>
      <c r="J1971">
        <v>2587</v>
      </c>
    </row>
    <row r="1973" spans="1:10" x14ac:dyDescent="0.25">
      <c r="A1973" t="s">
        <v>571</v>
      </c>
    </row>
    <row r="1974" spans="1:10" x14ac:dyDescent="0.25">
      <c r="A1974" t="s">
        <v>189</v>
      </c>
      <c r="B1974" t="s">
        <v>190</v>
      </c>
      <c r="C1974" t="s">
        <v>206</v>
      </c>
      <c r="D1974" t="s">
        <v>529</v>
      </c>
      <c r="E1974" t="s">
        <v>191</v>
      </c>
      <c r="F1974" t="s">
        <v>192</v>
      </c>
      <c r="G1974" t="s">
        <v>193</v>
      </c>
      <c r="H1974" t="s">
        <v>194</v>
      </c>
      <c r="I1974" t="s">
        <v>195</v>
      </c>
      <c r="J1974" t="s">
        <v>196</v>
      </c>
    </row>
    <row r="1975" spans="1:10" x14ac:dyDescent="0.25">
      <c r="A1975" t="s">
        <v>197</v>
      </c>
      <c r="B1975" t="s">
        <v>198</v>
      </c>
      <c r="C1975" t="s">
        <v>348</v>
      </c>
      <c r="D1975" t="s">
        <v>532</v>
      </c>
      <c r="E1975">
        <v>13348.104545409769</v>
      </c>
      <c r="F1975">
        <v>5691.6666666666697</v>
      </c>
      <c r="G1975">
        <v>198</v>
      </c>
      <c r="H1975">
        <v>335491.66666666698</v>
      </c>
      <c r="I1975">
        <v>77</v>
      </c>
      <c r="J1975">
        <v>2587</v>
      </c>
    </row>
    <row r="1976" spans="1:10" s="29" customFormat="1" x14ac:dyDescent="0.25">
      <c r="A1976" s="29" t="s">
        <v>197</v>
      </c>
      <c r="B1976" s="29" t="s">
        <v>198</v>
      </c>
      <c r="C1976" s="29" t="s">
        <v>349</v>
      </c>
      <c r="D1976" s="29" t="s">
        <v>532</v>
      </c>
      <c r="E1976" s="29">
        <v>7336.6666666666497</v>
      </c>
      <c r="F1976" s="29">
        <v>3270</v>
      </c>
      <c r="G1976" s="29">
        <v>3270</v>
      </c>
      <c r="H1976" s="29">
        <v>11403.333333333299</v>
      </c>
      <c r="I1976" s="29">
        <v>2</v>
      </c>
      <c r="J1976" s="29">
        <v>2587</v>
      </c>
    </row>
    <row r="1977" spans="1:10" x14ac:dyDescent="0.25">
      <c r="A1977" t="s">
        <v>199</v>
      </c>
      <c r="B1977" t="s">
        <v>198</v>
      </c>
      <c r="C1977" t="s">
        <v>348</v>
      </c>
      <c r="D1977" t="s">
        <v>532</v>
      </c>
      <c r="E1977">
        <v>7314.4498553560416</v>
      </c>
      <c r="F1977">
        <v>4726.6666666666697</v>
      </c>
      <c r="G1977">
        <v>833.33333333333303</v>
      </c>
      <c r="H1977">
        <v>22277.777777777799</v>
      </c>
      <c r="I1977">
        <v>54</v>
      </c>
      <c r="J1977">
        <v>2587</v>
      </c>
    </row>
    <row r="1978" spans="1:10" x14ac:dyDescent="0.25">
      <c r="A1978" t="s">
        <v>199</v>
      </c>
      <c r="B1978" t="s">
        <v>198</v>
      </c>
      <c r="C1978" t="s">
        <v>349</v>
      </c>
      <c r="D1978" t="s">
        <v>532</v>
      </c>
      <c r="E1978">
        <v>7107.6068287038324</v>
      </c>
      <c r="F1978">
        <v>7033.3333333333303</v>
      </c>
      <c r="G1978">
        <v>916.66666666666697</v>
      </c>
      <c r="H1978">
        <v>28380</v>
      </c>
      <c r="I1978">
        <v>110</v>
      </c>
      <c r="J1978">
        <v>2587</v>
      </c>
    </row>
    <row r="1979" spans="1:10" x14ac:dyDescent="0.25">
      <c r="A1979" t="s">
        <v>199</v>
      </c>
      <c r="B1979" t="s">
        <v>198</v>
      </c>
      <c r="C1979" t="s">
        <v>350</v>
      </c>
      <c r="D1979" t="s">
        <v>532</v>
      </c>
      <c r="E1979">
        <v>6003.2815759948026</v>
      </c>
      <c r="F1979">
        <v>5575</v>
      </c>
      <c r="G1979">
        <v>115</v>
      </c>
      <c r="H1979">
        <v>23650</v>
      </c>
      <c r="I1979">
        <v>189</v>
      </c>
      <c r="J1979">
        <v>2587</v>
      </c>
    </row>
    <row r="1980" spans="1:10" x14ac:dyDescent="0.25">
      <c r="A1980" t="s">
        <v>200</v>
      </c>
      <c r="B1980" t="s">
        <v>198</v>
      </c>
      <c r="C1980" t="s">
        <v>348</v>
      </c>
      <c r="D1980" t="s">
        <v>532</v>
      </c>
      <c r="E1980">
        <v>8922.6278089836906</v>
      </c>
      <c r="F1980">
        <v>7322.2222222222199</v>
      </c>
      <c r="G1980">
        <v>562.5</v>
      </c>
      <c r="H1980">
        <v>62783.333333333299</v>
      </c>
      <c r="I1980">
        <v>235</v>
      </c>
      <c r="J1980">
        <v>2587</v>
      </c>
    </row>
    <row r="1981" spans="1:10" x14ac:dyDescent="0.25">
      <c r="A1981" t="s">
        <v>200</v>
      </c>
      <c r="B1981" t="s">
        <v>198</v>
      </c>
      <c r="C1981" t="s">
        <v>349</v>
      </c>
      <c r="D1981" t="s">
        <v>532</v>
      </c>
      <c r="E1981">
        <v>5197.7832791211003</v>
      </c>
      <c r="F1981">
        <v>4455.5555555555602</v>
      </c>
      <c r="G1981">
        <v>855.555555555556</v>
      </c>
      <c r="H1981">
        <v>14100</v>
      </c>
      <c r="I1981">
        <v>61</v>
      </c>
      <c r="J1981">
        <v>2587</v>
      </c>
    </row>
    <row r="1982" spans="1:10" x14ac:dyDescent="0.25">
      <c r="A1982" t="s">
        <v>200</v>
      </c>
      <c r="B1982" t="s">
        <v>198</v>
      </c>
      <c r="C1982" t="s">
        <v>350</v>
      </c>
      <c r="D1982" t="s">
        <v>532</v>
      </c>
      <c r="E1982">
        <v>5201.2315244879746</v>
      </c>
      <c r="F1982">
        <v>4566.6666666666697</v>
      </c>
      <c r="G1982">
        <v>350</v>
      </c>
      <c r="H1982">
        <v>15777.777777777799</v>
      </c>
      <c r="I1982">
        <v>76</v>
      </c>
      <c r="J1982">
        <v>2587</v>
      </c>
    </row>
    <row r="1983" spans="1:10" x14ac:dyDescent="0.25">
      <c r="A1983" t="s">
        <v>201</v>
      </c>
      <c r="B1983" t="s">
        <v>198</v>
      </c>
      <c r="C1983" t="s">
        <v>348</v>
      </c>
      <c r="D1983" t="s">
        <v>532</v>
      </c>
      <c r="E1983">
        <v>5528.2020777751823</v>
      </c>
      <c r="F1983">
        <v>4994.4444444444398</v>
      </c>
      <c r="G1983">
        <v>100</v>
      </c>
      <c r="H1983">
        <v>22497.222222222201</v>
      </c>
      <c r="I1983">
        <v>61</v>
      </c>
      <c r="J1983">
        <v>2587</v>
      </c>
    </row>
    <row r="1984" spans="1:10" x14ac:dyDescent="0.25">
      <c r="A1984" t="s">
        <v>201</v>
      </c>
      <c r="B1984" t="s">
        <v>198</v>
      </c>
      <c r="C1984" t="s">
        <v>349</v>
      </c>
      <c r="D1984" t="s">
        <v>532</v>
      </c>
      <c r="E1984">
        <v>7320.0798629581577</v>
      </c>
      <c r="F1984">
        <v>5750</v>
      </c>
      <c r="G1984">
        <v>250</v>
      </c>
      <c r="H1984">
        <v>27466.666666666701</v>
      </c>
      <c r="I1984">
        <v>123</v>
      </c>
      <c r="J1984">
        <v>2587</v>
      </c>
    </row>
    <row r="1985" spans="1:10" x14ac:dyDescent="0.25">
      <c r="A1985" t="s">
        <v>201</v>
      </c>
      <c r="B1985" t="s">
        <v>198</v>
      </c>
      <c r="C1985" t="s">
        <v>350</v>
      </c>
      <c r="D1985" t="s">
        <v>532</v>
      </c>
      <c r="E1985">
        <v>4690.4904969282279</v>
      </c>
      <c r="F1985">
        <v>4000</v>
      </c>
      <c r="G1985">
        <v>25</v>
      </c>
      <c r="H1985">
        <v>17591.666666666701</v>
      </c>
      <c r="I1985">
        <v>60</v>
      </c>
      <c r="J1985">
        <v>2587</v>
      </c>
    </row>
    <row r="1986" spans="1:10" x14ac:dyDescent="0.25">
      <c r="A1986" t="s">
        <v>202</v>
      </c>
      <c r="B1986" t="s">
        <v>198</v>
      </c>
      <c r="C1986" t="s">
        <v>348</v>
      </c>
      <c r="D1986" t="s">
        <v>532</v>
      </c>
      <c r="E1986">
        <v>8021.5470699908892</v>
      </c>
      <c r="F1986">
        <v>5958.5</v>
      </c>
      <c r="G1986">
        <v>75</v>
      </c>
      <c r="H1986">
        <v>42750</v>
      </c>
      <c r="I1986">
        <v>96</v>
      </c>
      <c r="J1986">
        <v>2587</v>
      </c>
    </row>
    <row r="1987" spans="1:10" x14ac:dyDescent="0.25">
      <c r="A1987" t="s">
        <v>199</v>
      </c>
      <c r="B1987" t="s">
        <v>203</v>
      </c>
      <c r="C1987" t="s">
        <v>348</v>
      </c>
      <c r="D1987" t="s">
        <v>532</v>
      </c>
      <c r="E1987">
        <v>6803.019711070523</v>
      </c>
      <c r="F1987">
        <v>6630</v>
      </c>
      <c r="G1987">
        <v>100</v>
      </c>
      <c r="H1987">
        <v>33000</v>
      </c>
      <c r="I1987">
        <v>42</v>
      </c>
      <c r="J1987">
        <v>2587</v>
      </c>
    </row>
    <row r="1988" spans="1:10" x14ac:dyDescent="0.25">
      <c r="A1988" t="s">
        <v>199</v>
      </c>
      <c r="B1988" t="s">
        <v>203</v>
      </c>
      <c r="C1988" t="s">
        <v>349</v>
      </c>
      <c r="D1988" t="s">
        <v>532</v>
      </c>
      <c r="E1988">
        <v>6830.1099897467584</v>
      </c>
      <c r="F1988">
        <v>5577.7777777777801</v>
      </c>
      <c r="G1988">
        <v>300</v>
      </c>
      <c r="H1988">
        <v>33250</v>
      </c>
      <c r="I1988">
        <v>168</v>
      </c>
      <c r="J1988">
        <v>2587</v>
      </c>
    </row>
    <row r="1989" spans="1:10" x14ac:dyDescent="0.25">
      <c r="A1989" t="s">
        <v>199</v>
      </c>
      <c r="B1989" t="s">
        <v>203</v>
      </c>
      <c r="C1989" t="s">
        <v>350</v>
      </c>
      <c r="D1989" t="s">
        <v>532</v>
      </c>
      <c r="E1989">
        <v>7794.7074037665207</v>
      </c>
      <c r="F1989">
        <v>6700</v>
      </c>
      <c r="G1989">
        <v>150</v>
      </c>
      <c r="H1989">
        <v>41833.333333333299</v>
      </c>
      <c r="I1989">
        <v>300</v>
      </c>
      <c r="J1989">
        <v>2587</v>
      </c>
    </row>
    <row r="1990" spans="1:10" x14ac:dyDescent="0.25">
      <c r="A1990" t="s">
        <v>200</v>
      </c>
      <c r="B1990" t="s">
        <v>203</v>
      </c>
      <c r="C1990" t="s">
        <v>348</v>
      </c>
      <c r="D1990" t="s">
        <v>532</v>
      </c>
      <c r="E1990">
        <v>11118.65895045021</v>
      </c>
      <c r="F1990">
        <v>8383.3333333333303</v>
      </c>
      <c r="G1990">
        <v>233.333333333333</v>
      </c>
      <c r="H1990">
        <v>91633.333333333299</v>
      </c>
      <c r="I1990">
        <v>299</v>
      </c>
      <c r="J1990">
        <v>2587</v>
      </c>
    </row>
    <row r="1991" spans="1:10" x14ac:dyDescent="0.25">
      <c r="A1991" t="s">
        <v>200</v>
      </c>
      <c r="B1991" t="s">
        <v>203</v>
      </c>
      <c r="C1991" t="s">
        <v>349</v>
      </c>
      <c r="D1991" t="s">
        <v>532</v>
      </c>
      <c r="E1991">
        <v>7019.5409870680069</v>
      </c>
      <c r="F1991">
        <v>5983.3333333333303</v>
      </c>
      <c r="G1991">
        <v>731.944444444444</v>
      </c>
      <c r="H1991">
        <v>28270.833333333299</v>
      </c>
      <c r="I1991">
        <v>108</v>
      </c>
      <c r="J1991">
        <v>2587</v>
      </c>
    </row>
    <row r="1992" spans="1:10" x14ac:dyDescent="0.25">
      <c r="A1992" t="s">
        <v>200</v>
      </c>
      <c r="B1992" t="s">
        <v>203</v>
      </c>
      <c r="C1992" t="s">
        <v>350</v>
      </c>
      <c r="D1992" t="s">
        <v>532</v>
      </c>
      <c r="E1992">
        <v>6771.4249366382446</v>
      </c>
      <c r="F1992">
        <v>5058.3333333333303</v>
      </c>
      <c r="G1992">
        <v>153.333333333333</v>
      </c>
      <c r="H1992">
        <v>34408.333333333299</v>
      </c>
      <c r="I1992">
        <v>93</v>
      </c>
      <c r="J1992">
        <v>2587</v>
      </c>
    </row>
    <row r="1993" spans="1:10" x14ac:dyDescent="0.25">
      <c r="A1993" t="s">
        <v>201</v>
      </c>
      <c r="B1993" t="s">
        <v>203</v>
      </c>
      <c r="C1993" t="s">
        <v>348</v>
      </c>
      <c r="D1993" t="s">
        <v>532</v>
      </c>
      <c r="E1993">
        <v>6244.4996589407647</v>
      </c>
      <c r="F1993">
        <v>4291.6666666666697</v>
      </c>
      <c r="G1993">
        <v>1200</v>
      </c>
      <c r="H1993">
        <v>26541.666666666701</v>
      </c>
      <c r="I1993">
        <v>62</v>
      </c>
      <c r="J1993">
        <v>2587</v>
      </c>
    </row>
    <row r="1994" spans="1:10" x14ac:dyDescent="0.25">
      <c r="A1994" t="s">
        <v>201</v>
      </c>
      <c r="B1994" t="s">
        <v>203</v>
      </c>
      <c r="C1994" t="s">
        <v>349</v>
      </c>
      <c r="D1994" t="s">
        <v>532</v>
      </c>
      <c r="E1994">
        <v>7752.3741441665306</v>
      </c>
      <c r="F1994">
        <v>6438.8888888888896</v>
      </c>
      <c r="G1994">
        <v>250</v>
      </c>
      <c r="H1994">
        <v>47458.333333333299</v>
      </c>
      <c r="I1994">
        <v>147</v>
      </c>
      <c r="J1994">
        <v>2587</v>
      </c>
    </row>
    <row r="1995" spans="1:10" x14ac:dyDescent="0.25">
      <c r="A1995" t="s">
        <v>201</v>
      </c>
      <c r="B1995" t="s">
        <v>203</v>
      </c>
      <c r="C1995" t="s">
        <v>350</v>
      </c>
      <c r="D1995" t="s">
        <v>532</v>
      </c>
      <c r="E1995">
        <v>5181.4009865285452</v>
      </c>
      <c r="F1995">
        <v>3695.8333333333298</v>
      </c>
      <c r="G1995">
        <v>300</v>
      </c>
      <c r="H1995">
        <v>31833.333333333299</v>
      </c>
      <c r="I1995">
        <v>101</v>
      </c>
      <c r="J1995">
        <v>2587</v>
      </c>
    </row>
    <row r="1996" spans="1:10" x14ac:dyDescent="0.25">
      <c r="A1996" t="s">
        <v>202</v>
      </c>
      <c r="B1996" t="s">
        <v>203</v>
      </c>
      <c r="C1996" t="s">
        <v>348</v>
      </c>
      <c r="D1996" t="s">
        <v>532</v>
      </c>
      <c r="E1996">
        <v>7670.3514593810241</v>
      </c>
      <c r="F1996">
        <v>6516.6666666666697</v>
      </c>
      <c r="G1996">
        <v>700</v>
      </c>
      <c r="H1996">
        <v>27033.333333333299</v>
      </c>
      <c r="I1996">
        <v>88</v>
      </c>
      <c r="J1996">
        <v>2587</v>
      </c>
    </row>
    <row r="1997" spans="1:10" x14ac:dyDescent="0.25">
      <c r="A1997" t="s">
        <v>204</v>
      </c>
      <c r="B1997" t="s">
        <v>204</v>
      </c>
      <c r="C1997" t="s">
        <v>204</v>
      </c>
      <c r="D1997" t="s">
        <v>204</v>
      </c>
      <c r="E1997">
        <v>8852.2164412141428</v>
      </c>
      <c r="F1997">
        <v>6708.3333333333303</v>
      </c>
      <c r="G1997">
        <v>25</v>
      </c>
      <c r="H1997">
        <v>335491.66666666698</v>
      </c>
      <c r="I1997">
        <v>2587</v>
      </c>
      <c r="J1997">
        <v>2587</v>
      </c>
    </row>
    <row r="1999" spans="1:10" x14ac:dyDescent="0.25">
      <c r="A1999" t="s">
        <v>572</v>
      </c>
    </row>
    <row r="2000" spans="1:10" x14ac:dyDescent="0.25">
      <c r="A2000" t="s">
        <v>189</v>
      </c>
      <c r="B2000" t="s">
        <v>190</v>
      </c>
      <c r="C2000" t="s">
        <v>191</v>
      </c>
      <c r="D2000" t="s">
        <v>192</v>
      </c>
      <c r="E2000" t="s">
        <v>193</v>
      </c>
      <c r="F2000" t="s">
        <v>194</v>
      </c>
      <c r="G2000" t="s">
        <v>195</v>
      </c>
      <c r="H2000" t="s">
        <v>196</v>
      </c>
    </row>
    <row r="2001" spans="1:10" x14ac:dyDescent="0.25">
      <c r="A2001" t="s">
        <v>197</v>
      </c>
      <c r="B2001" t="s">
        <v>198</v>
      </c>
      <c r="C2001">
        <v>22928.87545006461</v>
      </c>
      <c r="D2001">
        <v>13766.666666666701</v>
      </c>
      <c r="E2001">
        <v>500</v>
      </c>
      <c r="F2001">
        <v>335491.66666666698</v>
      </c>
      <c r="G2001">
        <v>79</v>
      </c>
      <c r="H2001">
        <v>2587</v>
      </c>
    </row>
    <row r="2002" spans="1:10" x14ac:dyDescent="0.25">
      <c r="A2002" t="s">
        <v>199</v>
      </c>
      <c r="B2002" t="s">
        <v>198</v>
      </c>
      <c r="C2002">
        <v>15665.27657499296</v>
      </c>
      <c r="D2002">
        <v>13336.666666666701</v>
      </c>
      <c r="E2002">
        <v>170</v>
      </c>
      <c r="F2002">
        <v>66833.333333333299</v>
      </c>
      <c r="G2002">
        <v>363</v>
      </c>
      <c r="H2002">
        <v>2587</v>
      </c>
    </row>
    <row r="2003" spans="1:10" x14ac:dyDescent="0.25">
      <c r="A2003" t="s">
        <v>200</v>
      </c>
      <c r="B2003" t="s">
        <v>198</v>
      </c>
      <c r="C2003">
        <v>23094.37069437731</v>
      </c>
      <c r="D2003">
        <v>17970</v>
      </c>
      <c r="E2003">
        <v>440</v>
      </c>
      <c r="F2003">
        <v>119833.33333333299</v>
      </c>
      <c r="G2003">
        <v>377</v>
      </c>
      <c r="H2003">
        <v>2587</v>
      </c>
    </row>
    <row r="2004" spans="1:10" x14ac:dyDescent="0.25">
      <c r="A2004" t="s">
        <v>201</v>
      </c>
      <c r="B2004" t="s">
        <v>198</v>
      </c>
      <c r="C2004">
        <v>18147.33810333857</v>
      </c>
      <c r="D2004">
        <v>15950</v>
      </c>
      <c r="E2004">
        <v>50</v>
      </c>
      <c r="F2004">
        <v>74808.333333333299</v>
      </c>
      <c r="G2004">
        <v>249</v>
      </c>
      <c r="H2004">
        <v>2587</v>
      </c>
    </row>
    <row r="2005" spans="1:10" x14ac:dyDescent="0.25">
      <c r="A2005" t="s">
        <v>202</v>
      </c>
      <c r="B2005" t="s">
        <v>198</v>
      </c>
      <c r="C2005">
        <v>18144.275405945791</v>
      </c>
      <c r="D2005">
        <v>14580</v>
      </c>
      <c r="E2005">
        <v>150</v>
      </c>
      <c r="F2005">
        <v>85500</v>
      </c>
      <c r="G2005">
        <v>96</v>
      </c>
      <c r="H2005">
        <v>2587</v>
      </c>
    </row>
    <row r="2006" spans="1:10" x14ac:dyDescent="0.25">
      <c r="A2006" t="s">
        <v>199</v>
      </c>
      <c r="B2006" t="s">
        <v>203</v>
      </c>
      <c r="C2006">
        <v>19581.21849624224</v>
      </c>
      <c r="D2006">
        <v>16700</v>
      </c>
      <c r="E2006">
        <v>200</v>
      </c>
      <c r="F2006">
        <v>83666.666666666701</v>
      </c>
      <c r="G2006">
        <v>519</v>
      </c>
      <c r="H2006">
        <v>2587</v>
      </c>
    </row>
    <row r="2007" spans="1:10" x14ac:dyDescent="0.25">
      <c r="A2007" t="s">
        <v>200</v>
      </c>
      <c r="B2007" t="s">
        <v>203</v>
      </c>
      <c r="C2007">
        <v>25917.261273785811</v>
      </c>
      <c r="D2007">
        <v>21960</v>
      </c>
      <c r="E2007">
        <v>300</v>
      </c>
      <c r="F2007">
        <v>133333.33333333299</v>
      </c>
      <c r="G2007">
        <v>501</v>
      </c>
      <c r="H2007">
        <v>2587</v>
      </c>
    </row>
    <row r="2008" spans="1:10" x14ac:dyDescent="0.25">
      <c r="A2008" t="s">
        <v>201</v>
      </c>
      <c r="B2008" t="s">
        <v>203</v>
      </c>
      <c r="C2008">
        <v>18187.467183750148</v>
      </c>
      <c r="D2008">
        <v>16233.333333333299</v>
      </c>
      <c r="E2008">
        <v>500</v>
      </c>
      <c r="F2008">
        <v>106166.66666666701</v>
      </c>
      <c r="G2008">
        <v>315</v>
      </c>
      <c r="H2008">
        <v>2587</v>
      </c>
    </row>
    <row r="2009" spans="1:10" x14ac:dyDescent="0.25">
      <c r="A2009" t="s">
        <v>202</v>
      </c>
      <c r="B2009" t="s">
        <v>203</v>
      </c>
      <c r="C2009">
        <v>20604.300084189879</v>
      </c>
      <c r="D2009">
        <v>18400</v>
      </c>
      <c r="E2009">
        <v>700</v>
      </c>
      <c r="F2009">
        <v>68500</v>
      </c>
      <c r="G2009">
        <v>88</v>
      </c>
      <c r="H2009">
        <v>2587</v>
      </c>
    </row>
    <row r="2010" spans="1:10" x14ac:dyDescent="0.25">
      <c r="A2010" t="s">
        <v>204</v>
      </c>
      <c r="B2010" t="s">
        <v>204</v>
      </c>
      <c r="C2010">
        <v>21462.02148728276</v>
      </c>
      <c r="D2010">
        <v>17333.333333333299</v>
      </c>
      <c r="E2010">
        <v>50</v>
      </c>
      <c r="F2010">
        <v>335491.66666666698</v>
      </c>
      <c r="G2010">
        <v>2587</v>
      </c>
      <c r="H2010">
        <v>2587</v>
      </c>
    </row>
    <row r="2012" spans="1:10" x14ac:dyDescent="0.25">
      <c r="A2012" t="s">
        <v>573</v>
      </c>
    </row>
    <row r="2013" spans="1:10" x14ac:dyDescent="0.25">
      <c r="A2013" t="s">
        <v>189</v>
      </c>
      <c r="B2013" t="s">
        <v>190</v>
      </c>
      <c r="C2013" t="s">
        <v>206</v>
      </c>
      <c r="D2013" t="s">
        <v>529</v>
      </c>
      <c r="E2013" t="s">
        <v>191</v>
      </c>
      <c r="F2013" t="s">
        <v>192</v>
      </c>
      <c r="G2013" t="s">
        <v>193</v>
      </c>
      <c r="H2013" t="s">
        <v>194</v>
      </c>
      <c r="I2013" t="s">
        <v>195</v>
      </c>
      <c r="J2013" t="s">
        <v>196</v>
      </c>
    </row>
    <row r="2014" spans="1:10" x14ac:dyDescent="0.25">
      <c r="A2014" t="s">
        <v>197</v>
      </c>
      <c r="B2014" t="s">
        <v>198</v>
      </c>
      <c r="C2014" t="s">
        <v>228</v>
      </c>
      <c r="D2014" t="s">
        <v>530</v>
      </c>
      <c r="E2014">
        <v>12781.41679461382</v>
      </c>
      <c r="F2014">
        <v>11266.666666666701</v>
      </c>
      <c r="G2014">
        <v>990</v>
      </c>
      <c r="H2014">
        <v>57016.666666666701</v>
      </c>
      <c r="I2014">
        <v>31</v>
      </c>
      <c r="J2014">
        <v>2587</v>
      </c>
    </row>
    <row r="2015" spans="1:10" x14ac:dyDescent="0.25">
      <c r="A2015" t="s">
        <v>197</v>
      </c>
      <c r="B2015" t="s">
        <v>198</v>
      </c>
      <c r="C2015" t="s">
        <v>229</v>
      </c>
      <c r="D2015" t="s">
        <v>530</v>
      </c>
      <c r="E2015">
        <v>30380.920215317248</v>
      </c>
      <c r="F2015">
        <v>17766.666666666701</v>
      </c>
      <c r="G2015">
        <v>500</v>
      </c>
      <c r="H2015">
        <v>335491.66666666698</v>
      </c>
      <c r="I2015">
        <v>48</v>
      </c>
      <c r="J2015">
        <v>2587</v>
      </c>
    </row>
    <row r="2016" spans="1:10" x14ac:dyDescent="0.25">
      <c r="A2016" t="s">
        <v>199</v>
      </c>
      <c r="B2016" t="s">
        <v>198</v>
      </c>
      <c r="C2016" t="s">
        <v>228</v>
      </c>
      <c r="D2016" t="s">
        <v>530</v>
      </c>
      <c r="E2016">
        <v>15049.48115004727</v>
      </c>
      <c r="F2016">
        <v>12250</v>
      </c>
      <c r="G2016">
        <v>583.33333333333303</v>
      </c>
      <c r="H2016">
        <v>66833.333333333299</v>
      </c>
      <c r="I2016">
        <v>143</v>
      </c>
      <c r="J2016">
        <v>2587</v>
      </c>
    </row>
    <row r="2017" spans="1:10" x14ac:dyDescent="0.25">
      <c r="A2017" t="s">
        <v>199</v>
      </c>
      <c r="B2017" t="s">
        <v>198</v>
      </c>
      <c r="C2017" t="s">
        <v>229</v>
      </c>
      <c r="D2017" t="s">
        <v>530</v>
      </c>
      <c r="E2017">
        <v>15945.576748361091</v>
      </c>
      <c r="F2017">
        <v>13560</v>
      </c>
      <c r="G2017">
        <v>230</v>
      </c>
      <c r="H2017">
        <v>55636.666666666701</v>
      </c>
      <c r="I2017">
        <v>210</v>
      </c>
      <c r="J2017">
        <v>2587</v>
      </c>
    </row>
    <row r="2018" spans="1:10" x14ac:dyDescent="0.25">
      <c r="A2018" t="s">
        <v>200</v>
      </c>
      <c r="B2018" t="s">
        <v>198</v>
      </c>
      <c r="C2018" t="s">
        <v>228</v>
      </c>
      <c r="D2018" t="s">
        <v>530</v>
      </c>
      <c r="E2018">
        <v>22525.479557542159</v>
      </c>
      <c r="F2018">
        <v>13633.333333333299</v>
      </c>
      <c r="G2018">
        <v>700</v>
      </c>
      <c r="H2018">
        <v>119833.33333333299</v>
      </c>
      <c r="I2018">
        <v>109</v>
      </c>
      <c r="J2018">
        <v>2587</v>
      </c>
    </row>
    <row r="2019" spans="1:10" x14ac:dyDescent="0.25">
      <c r="A2019" t="s">
        <v>200</v>
      </c>
      <c r="B2019" t="s">
        <v>198</v>
      </c>
      <c r="C2019" t="s">
        <v>229</v>
      </c>
      <c r="D2019" t="s">
        <v>530</v>
      </c>
      <c r="E2019">
        <v>23312.183382054489</v>
      </c>
      <c r="F2019">
        <v>20666.666666666701</v>
      </c>
      <c r="G2019">
        <v>440</v>
      </c>
      <c r="H2019">
        <v>115233.33333333299</v>
      </c>
      <c r="I2019">
        <v>263</v>
      </c>
      <c r="J2019">
        <v>2587</v>
      </c>
    </row>
    <row r="2020" spans="1:10" x14ac:dyDescent="0.25">
      <c r="A2020" t="s">
        <v>201</v>
      </c>
      <c r="B2020" t="s">
        <v>198</v>
      </c>
      <c r="C2020" t="s">
        <v>228</v>
      </c>
      <c r="D2020" t="s">
        <v>530</v>
      </c>
      <c r="E2020">
        <v>12933.216892328979</v>
      </c>
      <c r="F2020">
        <v>10683.333333333299</v>
      </c>
      <c r="G2020">
        <v>500</v>
      </c>
      <c r="H2020">
        <v>51666.666666666701</v>
      </c>
      <c r="I2020">
        <v>94</v>
      </c>
      <c r="J2020">
        <v>2587</v>
      </c>
    </row>
    <row r="2021" spans="1:10" x14ac:dyDescent="0.25">
      <c r="A2021" t="s">
        <v>201</v>
      </c>
      <c r="B2021" t="s">
        <v>198</v>
      </c>
      <c r="C2021" t="s">
        <v>229</v>
      </c>
      <c r="D2021" t="s">
        <v>530</v>
      </c>
      <c r="E2021">
        <v>19700.17872849949</v>
      </c>
      <c r="F2021">
        <v>17200</v>
      </c>
      <c r="G2021">
        <v>50</v>
      </c>
      <c r="H2021">
        <v>74808.333333333299</v>
      </c>
      <c r="I2021">
        <v>150</v>
      </c>
      <c r="J2021">
        <v>2587</v>
      </c>
    </row>
    <row r="2022" spans="1:10" s="29" customFormat="1" x14ac:dyDescent="0.25">
      <c r="A2022" s="29" t="s">
        <v>202</v>
      </c>
      <c r="B2022" s="29" t="s">
        <v>198</v>
      </c>
      <c r="C2022" s="29" t="s">
        <v>228</v>
      </c>
      <c r="D2022" s="29" t="s">
        <v>530</v>
      </c>
      <c r="E2022" s="29">
        <v>10261.30537920397</v>
      </c>
      <c r="F2022" s="29">
        <v>11266.666666666701</v>
      </c>
      <c r="G2022" s="29">
        <v>1600</v>
      </c>
      <c r="H2022" s="29">
        <v>51566.666666666701</v>
      </c>
      <c r="I2022" s="29">
        <v>28</v>
      </c>
      <c r="J2022" s="29">
        <v>2587</v>
      </c>
    </row>
    <row r="2023" spans="1:10" x14ac:dyDescent="0.25">
      <c r="A2023" t="s">
        <v>202</v>
      </c>
      <c r="B2023" t="s">
        <v>198</v>
      </c>
      <c r="C2023" t="s">
        <v>229</v>
      </c>
      <c r="D2023" t="s">
        <v>530</v>
      </c>
      <c r="E2023">
        <v>20584.881888408101</v>
      </c>
      <c r="F2023">
        <v>17550</v>
      </c>
      <c r="G2023">
        <v>150</v>
      </c>
      <c r="H2023">
        <v>85500</v>
      </c>
      <c r="I2023">
        <v>68</v>
      </c>
      <c r="J2023">
        <v>2587</v>
      </c>
    </row>
    <row r="2024" spans="1:10" x14ac:dyDescent="0.25">
      <c r="A2024" t="s">
        <v>199</v>
      </c>
      <c r="B2024" t="s">
        <v>203</v>
      </c>
      <c r="C2024" t="s">
        <v>228</v>
      </c>
      <c r="D2024" t="s">
        <v>530</v>
      </c>
      <c r="E2024">
        <v>20299.324003869271</v>
      </c>
      <c r="F2024">
        <v>17083.333333333299</v>
      </c>
      <c r="G2024">
        <v>200</v>
      </c>
      <c r="H2024">
        <v>66500</v>
      </c>
      <c r="I2024">
        <v>146</v>
      </c>
      <c r="J2024">
        <v>2587</v>
      </c>
    </row>
    <row r="2025" spans="1:10" x14ac:dyDescent="0.25">
      <c r="A2025" t="s">
        <v>199</v>
      </c>
      <c r="B2025" t="s">
        <v>203</v>
      </c>
      <c r="C2025" t="s">
        <v>229</v>
      </c>
      <c r="D2025" t="s">
        <v>530</v>
      </c>
      <c r="E2025">
        <v>19519.931336498819</v>
      </c>
      <c r="F2025">
        <v>16700</v>
      </c>
      <c r="G2025">
        <v>400</v>
      </c>
      <c r="H2025">
        <v>83666.666666666701</v>
      </c>
      <c r="I2025">
        <v>364</v>
      </c>
      <c r="J2025">
        <v>2587</v>
      </c>
    </row>
    <row r="2026" spans="1:10" x14ac:dyDescent="0.25">
      <c r="A2026" t="s">
        <v>200</v>
      </c>
      <c r="B2026" t="s">
        <v>203</v>
      </c>
      <c r="C2026" t="s">
        <v>228</v>
      </c>
      <c r="D2026" t="s">
        <v>530</v>
      </c>
      <c r="E2026">
        <v>26312.729056247659</v>
      </c>
      <c r="F2026">
        <v>22666.666666666701</v>
      </c>
      <c r="G2026">
        <v>300</v>
      </c>
      <c r="H2026">
        <v>133333.33333333299</v>
      </c>
      <c r="I2026">
        <v>154</v>
      </c>
      <c r="J2026">
        <v>2587</v>
      </c>
    </row>
    <row r="2027" spans="1:10" x14ac:dyDescent="0.25">
      <c r="A2027" t="s">
        <v>200</v>
      </c>
      <c r="B2027" t="s">
        <v>203</v>
      </c>
      <c r="C2027" t="s">
        <v>229</v>
      </c>
      <c r="D2027" t="s">
        <v>530</v>
      </c>
      <c r="E2027">
        <v>25820.793989026399</v>
      </c>
      <c r="F2027">
        <v>21960</v>
      </c>
      <c r="G2027">
        <v>700</v>
      </c>
      <c r="H2027">
        <v>122500</v>
      </c>
      <c r="I2027">
        <v>346</v>
      </c>
      <c r="J2027">
        <v>2587</v>
      </c>
    </row>
    <row r="2028" spans="1:10" x14ac:dyDescent="0.25">
      <c r="A2028" t="s">
        <v>201</v>
      </c>
      <c r="B2028" t="s">
        <v>203</v>
      </c>
      <c r="C2028" t="s">
        <v>228</v>
      </c>
      <c r="D2028" t="s">
        <v>530</v>
      </c>
      <c r="E2028">
        <v>14584.076787839909</v>
      </c>
      <c r="F2028">
        <v>12403.333333333299</v>
      </c>
      <c r="G2028">
        <v>970</v>
      </c>
      <c r="H2028">
        <v>106166.66666666701</v>
      </c>
      <c r="I2028">
        <v>176</v>
      </c>
      <c r="J2028">
        <v>2587</v>
      </c>
    </row>
    <row r="2029" spans="1:10" x14ac:dyDescent="0.25">
      <c r="A2029" t="s">
        <v>201</v>
      </c>
      <c r="B2029" t="s">
        <v>203</v>
      </c>
      <c r="C2029" t="s">
        <v>229</v>
      </c>
      <c r="D2029" t="s">
        <v>530</v>
      </c>
      <c r="E2029">
        <v>19335.839340085418</v>
      </c>
      <c r="F2029">
        <v>17616.666666666701</v>
      </c>
      <c r="G2029">
        <v>500</v>
      </c>
      <c r="H2029">
        <v>73333.333333333299</v>
      </c>
      <c r="I2029">
        <v>134</v>
      </c>
      <c r="J2029">
        <v>2587</v>
      </c>
    </row>
    <row r="2030" spans="1:10" x14ac:dyDescent="0.25">
      <c r="A2030" t="s">
        <v>202</v>
      </c>
      <c r="B2030" t="s">
        <v>203</v>
      </c>
      <c r="C2030" t="s">
        <v>228</v>
      </c>
      <c r="D2030" t="s">
        <v>530</v>
      </c>
      <c r="E2030">
        <v>22053.510020657151</v>
      </c>
      <c r="F2030">
        <v>21650</v>
      </c>
      <c r="G2030">
        <v>2890</v>
      </c>
      <c r="H2030">
        <v>68500</v>
      </c>
      <c r="I2030">
        <v>34</v>
      </c>
      <c r="J2030">
        <v>2587</v>
      </c>
    </row>
    <row r="2031" spans="1:10" x14ac:dyDescent="0.25">
      <c r="A2031" t="s">
        <v>202</v>
      </c>
      <c r="B2031" t="s">
        <v>203</v>
      </c>
      <c r="C2031" t="s">
        <v>229</v>
      </c>
      <c r="D2031" t="s">
        <v>530</v>
      </c>
      <c r="E2031">
        <v>20020.787909924911</v>
      </c>
      <c r="F2031">
        <v>17920</v>
      </c>
      <c r="G2031">
        <v>700</v>
      </c>
      <c r="H2031">
        <v>63066.666666666701</v>
      </c>
      <c r="I2031">
        <v>54</v>
      </c>
      <c r="J2031">
        <v>2587</v>
      </c>
    </row>
    <row r="2032" spans="1:10" x14ac:dyDescent="0.25">
      <c r="A2032" t="s">
        <v>204</v>
      </c>
      <c r="B2032" t="s">
        <v>204</v>
      </c>
      <c r="C2032" t="s">
        <v>204</v>
      </c>
      <c r="D2032" t="s">
        <v>204</v>
      </c>
      <c r="E2032">
        <v>21462.02148728276</v>
      </c>
      <c r="F2032">
        <v>17333.333333333299</v>
      </c>
      <c r="G2032">
        <v>50</v>
      </c>
      <c r="H2032">
        <v>335491.66666666698</v>
      </c>
      <c r="I2032">
        <v>2587</v>
      </c>
      <c r="J2032">
        <v>2587</v>
      </c>
    </row>
    <row r="2034" spans="1:10" x14ac:dyDescent="0.25">
      <c r="A2034" t="s">
        <v>574</v>
      </c>
    </row>
    <row r="2035" spans="1:10" x14ac:dyDescent="0.25">
      <c r="A2035" t="s">
        <v>189</v>
      </c>
      <c r="B2035" t="s">
        <v>190</v>
      </c>
      <c r="C2035" t="s">
        <v>206</v>
      </c>
      <c r="D2035" t="s">
        <v>529</v>
      </c>
      <c r="E2035" t="s">
        <v>191</v>
      </c>
      <c r="F2035" t="s">
        <v>192</v>
      </c>
      <c r="G2035" t="s">
        <v>193</v>
      </c>
      <c r="H2035" t="s">
        <v>194</v>
      </c>
      <c r="I2035" t="s">
        <v>195</v>
      </c>
      <c r="J2035" t="s">
        <v>196</v>
      </c>
    </row>
    <row r="2036" spans="1:10" x14ac:dyDescent="0.25">
      <c r="A2036" t="s">
        <v>197</v>
      </c>
      <c r="B2036" t="s">
        <v>198</v>
      </c>
      <c r="C2036" t="s">
        <v>348</v>
      </c>
      <c r="D2036" t="s">
        <v>532</v>
      </c>
      <c r="E2036">
        <v>22682.552734083609</v>
      </c>
      <c r="F2036">
        <v>13766.666666666701</v>
      </c>
      <c r="G2036">
        <v>500</v>
      </c>
      <c r="H2036">
        <v>335491.66666666698</v>
      </c>
      <c r="I2036">
        <v>77</v>
      </c>
      <c r="J2036">
        <v>2587</v>
      </c>
    </row>
    <row r="2037" spans="1:10" s="29" customFormat="1" x14ac:dyDescent="0.25">
      <c r="A2037" s="29" t="s">
        <v>197</v>
      </c>
      <c r="B2037" s="29" t="s">
        <v>198</v>
      </c>
      <c r="C2037" s="29" t="s">
        <v>349</v>
      </c>
      <c r="D2037" s="29" t="s">
        <v>532</v>
      </c>
      <c r="E2037" s="29">
        <v>33413.33333333335</v>
      </c>
      <c r="F2037" s="29">
        <v>9810</v>
      </c>
      <c r="G2037" s="29">
        <v>9810</v>
      </c>
      <c r="H2037" s="29">
        <v>57016.666666666701</v>
      </c>
      <c r="I2037" s="29">
        <v>2</v>
      </c>
      <c r="J2037" s="29">
        <v>2587</v>
      </c>
    </row>
    <row r="2038" spans="1:10" x14ac:dyDescent="0.25">
      <c r="A2038" t="s">
        <v>199</v>
      </c>
      <c r="B2038" t="s">
        <v>198</v>
      </c>
      <c r="C2038" t="s">
        <v>348</v>
      </c>
      <c r="D2038" t="s">
        <v>532</v>
      </c>
      <c r="E2038">
        <v>14636.79740766672</v>
      </c>
      <c r="F2038">
        <v>11400</v>
      </c>
      <c r="G2038">
        <v>1966.6666666666699</v>
      </c>
      <c r="H2038">
        <v>66833.333333333299</v>
      </c>
      <c r="I2038">
        <v>54</v>
      </c>
      <c r="J2038">
        <v>2587</v>
      </c>
    </row>
    <row r="2039" spans="1:10" x14ac:dyDescent="0.25">
      <c r="A2039" t="s">
        <v>199</v>
      </c>
      <c r="B2039" t="s">
        <v>198</v>
      </c>
      <c r="C2039" t="s">
        <v>349</v>
      </c>
      <c r="D2039" t="s">
        <v>532</v>
      </c>
      <c r="E2039">
        <v>16954.9352719952</v>
      </c>
      <c r="F2039">
        <v>15400</v>
      </c>
      <c r="G2039">
        <v>2203.3333333333298</v>
      </c>
      <c r="H2039">
        <v>39013.333333333299</v>
      </c>
      <c r="I2039">
        <v>110</v>
      </c>
      <c r="J2039">
        <v>2587</v>
      </c>
    </row>
    <row r="2040" spans="1:10" x14ac:dyDescent="0.25">
      <c r="A2040" t="s">
        <v>199</v>
      </c>
      <c r="B2040" t="s">
        <v>198</v>
      </c>
      <c r="C2040" t="s">
        <v>350</v>
      </c>
      <c r="D2040" t="s">
        <v>532</v>
      </c>
      <c r="E2040">
        <v>14693.065539419669</v>
      </c>
      <c r="F2040">
        <v>12966.666666666701</v>
      </c>
      <c r="G2040">
        <v>230</v>
      </c>
      <c r="H2040">
        <v>55636.666666666701</v>
      </c>
      <c r="I2040">
        <v>189</v>
      </c>
      <c r="J2040">
        <v>2587</v>
      </c>
    </row>
    <row r="2041" spans="1:10" x14ac:dyDescent="0.25">
      <c r="A2041" t="s">
        <v>200</v>
      </c>
      <c r="B2041" t="s">
        <v>198</v>
      </c>
      <c r="C2041" t="s">
        <v>348</v>
      </c>
      <c r="D2041" t="s">
        <v>532</v>
      </c>
      <c r="E2041">
        <v>24491.184469955711</v>
      </c>
      <c r="F2041">
        <v>20666.666666666701</v>
      </c>
      <c r="G2041">
        <v>1700</v>
      </c>
      <c r="H2041">
        <v>119833.33333333299</v>
      </c>
      <c r="I2041">
        <v>235</v>
      </c>
      <c r="J2041">
        <v>2587</v>
      </c>
    </row>
    <row r="2042" spans="1:10" x14ac:dyDescent="0.25">
      <c r="A2042" t="s">
        <v>200</v>
      </c>
      <c r="B2042" t="s">
        <v>198</v>
      </c>
      <c r="C2042" t="s">
        <v>349</v>
      </c>
      <c r="D2042" t="s">
        <v>532</v>
      </c>
      <c r="E2042">
        <v>14370.66355254854</v>
      </c>
      <c r="F2042">
        <v>13750</v>
      </c>
      <c r="G2042">
        <v>1750</v>
      </c>
      <c r="H2042">
        <v>59533.333333333299</v>
      </c>
      <c r="I2042">
        <v>61</v>
      </c>
      <c r="J2042">
        <v>2587</v>
      </c>
    </row>
    <row r="2043" spans="1:10" x14ac:dyDescent="0.25">
      <c r="A2043" t="s">
        <v>200</v>
      </c>
      <c r="B2043" t="s">
        <v>198</v>
      </c>
      <c r="C2043" t="s">
        <v>350</v>
      </c>
      <c r="D2043" t="s">
        <v>532</v>
      </c>
      <c r="E2043">
        <v>13578.65976032869</v>
      </c>
      <c r="F2043">
        <v>12900</v>
      </c>
      <c r="G2043">
        <v>440</v>
      </c>
      <c r="H2043">
        <v>47333.333333333299</v>
      </c>
      <c r="I2043">
        <v>76</v>
      </c>
      <c r="J2043">
        <v>2587</v>
      </c>
    </row>
    <row r="2044" spans="1:10" x14ac:dyDescent="0.25">
      <c r="A2044" t="s">
        <v>201</v>
      </c>
      <c r="B2044" t="s">
        <v>198</v>
      </c>
      <c r="C2044" t="s">
        <v>348</v>
      </c>
      <c r="D2044" t="s">
        <v>532</v>
      </c>
      <c r="E2044">
        <v>14924.894436238479</v>
      </c>
      <c r="F2044">
        <v>12383.333333333299</v>
      </c>
      <c r="G2044">
        <v>500</v>
      </c>
      <c r="H2044">
        <v>67491.666666666701</v>
      </c>
      <c r="I2044">
        <v>61</v>
      </c>
      <c r="J2044">
        <v>2587</v>
      </c>
    </row>
    <row r="2045" spans="1:10" x14ac:dyDescent="0.25">
      <c r="A2045" t="s">
        <v>201</v>
      </c>
      <c r="B2045" t="s">
        <v>198</v>
      </c>
      <c r="C2045" t="s">
        <v>349</v>
      </c>
      <c r="D2045" t="s">
        <v>532</v>
      </c>
      <c r="E2045">
        <v>19929.554203291598</v>
      </c>
      <c r="F2045">
        <v>18900</v>
      </c>
      <c r="G2045">
        <v>1000</v>
      </c>
      <c r="H2045">
        <v>74808.333333333299</v>
      </c>
      <c r="I2045">
        <v>123</v>
      </c>
      <c r="J2045">
        <v>2587</v>
      </c>
    </row>
    <row r="2046" spans="1:10" x14ac:dyDescent="0.25">
      <c r="A2046" t="s">
        <v>201</v>
      </c>
      <c r="B2046" t="s">
        <v>198</v>
      </c>
      <c r="C2046" t="s">
        <v>350</v>
      </c>
      <c r="D2046" t="s">
        <v>532</v>
      </c>
      <c r="E2046">
        <v>10972.92876757689</v>
      </c>
      <c r="F2046">
        <v>8850</v>
      </c>
      <c r="G2046">
        <v>50</v>
      </c>
      <c r="H2046">
        <v>70366.666666666701</v>
      </c>
      <c r="I2046">
        <v>60</v>
      </c>
      <c r="J2046">
        <v>2587</v>
      </c>
    </row>
    <row r="2047" spans="1:10" x14ac:dyDescent="0.25">
      <c r="A2047" t="s">
        <v>202</v>
      </c>
      <c r="B2047" t="s">
        <v>198</v>
      </c>
      <c r="C2047" t="s">
        <v>348</v>
      </c>
      <c r="D2047" t="s">
        <v>532</v>
      </c>
      <c r="E2047">
        <v>18144.275405945791</v>
      </c>
      <c r="F2047">
        <v>14580</v>
      </c>
      <c r="G2047">
        <v>150</v>
      </c>
      <c r="H2047">
        <v>85500</v>
      </c>
      <c r="I2047">
        <v>96</v>
      </c>
      <c r="J2047">
        <v>2587</v>
      </c>
    </row>
    <row r="2048" spans="1:10" x14ac:dyDescent="0.25">
      <c r="A2048" t="s">
        <v>199</v>
      </c>
      <c r="B2048" t="s">
        <v>203</v>
      </c>
      <c r="C2048" t="s">
        <v>348</v>
      </c>
      <c r="D2048" t="s">
        <v>532</v>
      </c>
      <c r="E2048">
        <v>17139.421919350239</v>
      </c>
      <c r="F2048">
        <v>16980</v>
      </c>
      <c r="G2048">
        <v>200</v>
      </c>
      <c r="H2048">
        <v>60270</v>
      </c>
      <c r="I2048">
        <v>42</v>
      </c>
      <c r="J2048">
        <v>2587</v>
      </c>
    </row>
    <row r="2049" spans="1:22" x14ac:dyDescent="0.25">
      <c r="A2049" t="s">
        <v>199</v>
      </c>
      <c r="B2049" t="s">
        <v>203</v>
      </c>
      <c r="C2049" t="s">
        <v>349</v>
      </c>
      <c r="D2049" t="s">
        <v>532</v>
      </c>
      <c r="E2049">
        <v>19376.144899068971</v>
      </c>
      <c r="F2049">
        <v>16733.333333333299</v>
      </c>
      <c r="G2049">
        <v>600</v>
      </c>
      <c r="H2049">
        <v>66500</v>
      </c>
      <c r="I2049">
        <v>168</v>
      </c>
      <c r="J2049">
        <v>2587</v>
      </c>
    </row>
    <row r="2050" spans="1:22" x14ac:dyDescent="0.25">
      <c r="A2050" t="s">
        <v>199</v>
      </c>
      <c r="B2050" t="s">
        <v>203</v>
      </c>
      <c r="C2050" t="s">
        <v>350</v>
      </c>
      <c r="D2050" t="s">
        <v>532</v>
      </c>
      <c r="E2050">
        <v>19880.554451825639</v>
      </c>
      <c r="F2050">
        <v>16483.333333333299</v>
      </c>
      <c r="G2050">
        <v>400</v>
      </c>
      <c r="H2050">
        <v>83666.666666666701</v>
      </c>
      <c r="I2050">
        <v>300</v>
      </c>
      <c r="J2050">
        <v>2587</v>
      </c>
    </row>
    <row r="2051" spans="1:22" x14ac:dyDescent="0.25">
      <c r="A2051" t="s">
        <v>200</v>
      </c>
      <c r="B2051" t="s">
        <v>203</v>
      </c>
      <c r="C2051" t="s">
        <v>348</v>
      </c>
      <c r="D2051" t="s">
        <v>532</v>
      </c>
      <c r="E2051">
        <v>26920.09429600124</v>
      </c>
      <c r="F2051">
        <v>22966.666666666701</v>
      </c>
      <c r="G2051">
        <v>300</v>
      </c>
      <c r="H2051">
        <v>133333.33333333299</v>
      </c>
      <c r="I2051">
        <v>299</v>
      </c>
      <c r="J2051">
        <v>2587</v>
      </c>
    </row>
    <row r="2052" spans="1:22" x14ac:dyDescent="0.25">
      <c r="A2052" t="s">
        <v>200</v>
      </c>
      <c r="B2052" t="s">
        <v>203</v>
      </c>
      <c r="C2052" t="s">
        <v>349</v>
      </c>
      <c r="D2052" t="s">
        <v>532</v>
      </c>
      <c r="E2052">
        <v>17917.603051872749</v>
      </c>
      <c r="F2052">
        <v>15733.333333333299</v>
      </c>
      <c r="G2052">
        <v>2091.6666666666702</v>
      </c>
      <c r="H2052">
        <v>113083.33333333299</v>
      </c>
      <c r="I2052">
        <v>108</v>
      </c>
      <c r="J2052">
        <v>2587</v>
      </c>
    </row>
    <row r="2053" spans="1:22" x14ac:dyDescent="0.25">
      <c r="A2053" t="s">
        <v>200</v>
      </c>
      <c r="B2053" t="s">
        <v>203</v>
      </c>
      <c r="C2053" t="s">
        <v>350</v>
      </c>
      <c r="D2053" t="s">
        <v>532</v>
      </c>
      <c r="E2053">
        <v>18332.165591115619</v>
      </c>
      <c r="F2053">
        <v>14500</v>
      </c>
      <c r="G2053">
        <v>766.66666666666697</v>
      </c>
      <c r="H2053">
        <v>124966.66666666701</v>
      </c>
      <c r="I2053">
        <v>93</v>
      </c>
      <c r="J2053">
        <v>2587</v>
      </c>
    </row>
    <row r="2054" spans="1:22" x14ac:dyDescent="0.25">
      <c r="A2054" t="s">
        <v>201</v>
      </c>
      <c r="B2054" t="s">
        <v>203</v>
      </c>
      <c r="C2054" t="s">
        <v>348</v>
      </c>
      <c r="D2054" t="s">
        <v>532</v>
      </c>
      <c r="E2054">
        <v>15890.04704956643</v>
      </c>
      <c r="F2054">
        <v>13866.666666666701</v>
      </c>
      <c r="G2054">
        <v>2126.6666666666702</v>
      </c>
      <c r="H2054">
        <v>106166.66666666701</v>
      </c>
      <c r="I2054">
        <v>62</v>
      </c>
      <c r="J2054">
        <v>2587</v>
      </c>
    </row>
    <row r="2055" spans="1:22" x14ac:dyDescent="0.25">
      <c r="A2055" t="s">
        <v>201</v>
      </c>
      <c r="B2055" t="s">
        <v>203</v>
      </c>
      <c r="C2055" t="s">
        <v>349</v>
      </c>
      <c r="D2055" t="s">
        <v>532</v>
      </c>
      <c r="E2055">
        <v>18939.175410903481</v>
      </c>
      <c r="F2055">
        <v>17053.333333333299</v>
      </c>
      <c r="G2055">
        <v>500</v>
      </c>
      <c r="H2055">
        <v>94916.666666666701</v>
      </c>
      <c r="I2055">
        <v>147</v>
      </c>
      <c r="J2055">
        <v>2587</v>
      </c>
    </row>
    <row r="2056" spans="1:22" x14ac:dyDescent="0.25">
      <c r="A2056" t="s">
        <v>201</v>
      </c>
      <c r="B2056" t="s">
        <v>203</v>
      </c>
      <c r="C2056" t="s">
        <v>350</v>
      </c>
      <c r="D2056" t="s">
        <v>532</v>
      </c>
      <c r="E2056">
        <v>12989.1341282676</v>
      </c>
      <c r="F2056">
        <v>10670</v>
      </c>
      <c r="G2056">
        <v>970</v>
      </c>
      <c r="H2056">
        <v>73333.333333333299</v>
      </c>
      <c r="I2056">
        <v>101</v>
      </c>
      <c r="J2056">
        <v>2587</v>
      </c>
    </row>
    <row r="2057" spans="1:22" x14ac:dyDescent="0.25">
      <c r="A2057" t="s">
        <v>202</v>
      </c>
      <c r="B2057" t="s">
        <v>203</v>
      </c>
      <c r="C2057" t="s">
        <v>348</v>
      </c>
      <c r="D2057" t="s">
        <v>532</v>
      </c>
      <c r="E2057">
        <v>20604.300084189879</v>
      </c>
      <c r="F2057">
        <v>18400</v>
      </c>
      <c r="G2057">
        <v>700</v>
      </c>
      <c r="H2057">
        <v>68500</v>
      </c>
      <c r="I2057">
        <v>88</v>
      </c>
      <c r="J2057">
        <v>2587</v>
      </c>
    </row>
    <row r="2058" spans="1:22" x14ac:dyDescent="0.25">
      <c r="A2058" t="s">
        <v>204</v>
      </c>
      <c r="B2058" t="s">
        <v>204</v>
      </c>
      <c r="C2058" t="s">
        <v>204</v>
      </c>
      <c r="D2058" t="s">
        <v>204</v>
      </c>
      <c r="E2058">
        <v>21462.02148728276</v>
      </c>
      <c r="F2058">
        <v>17333.333333333299</v>
      </c>
      <c r="G2058">
        <v>50</v>
      </c>
      <c r="H2058">
        <v>335491.66666666698</v>
      </c>
      <c r="I2058">
        <v>2587</v>
      </c>
      <c r="J2058">
        <v>2587</v>
      </c>
    </row>
    <row r="2060" spans="1:22" x14ac:dyDescent="0.25">
      <c r="A2060" t="s">
        <v>575</v>
      </c>
    </row>
    <row r="2061" spans="1:22" x14ac:dyDescent="0.25">
      <c r="A2061" t="s">
        <v>190</v>
      </c>
      <c r="B2061" t="s">
        <v>195</v>
      </c>
      <c r="C2061" t="s">
        <v>189</v>
      </c>
      <c r="D2061" t="s">
        <v>196</v>
      </c>
      <c r="E2061" t="s">
        <v>576</v>
      </c>
      <c r="F2061" t="s">
        <v>577</v>
      </c>
      <c r="G2061" t="s">
        <v>220</v>
      </c>
      <c r="H2061" t="s">
        <v>578</v>
      </c>
      <c r="I2061" t="s">
        <v>579</v>
      </c>
      <c r="J2061" t="s">
        <v>580</v>
      </c>
      <c r="K2061" t="s">
        <v>581</v>
      </c>
      <c r="L2061" t="s">
        <v>582</v>
      </c>
      <c r="M2061" t="s">
        <v>583</v>
      </c>
      <c r="N2061" t="s">
        <v>584</v>
      </c>
      <c r="O2061" t="s">
        <v>271</v>
      </c>
      <c r="P2061" t="s">
        <v>235</v>
      </c>
      <c r="Q2061" t="s">
        <v>585</v>
      </c>
      <c r="R2061" t="s">
        <v>215</v>
      </c>
      <c r="S2061" t="s">
        <v>586</v>
      </c>
      <c r="T2061" t="s">
        <v>587</v>
      </c>
      <c r="U2061" t="s">
        <v>588</v>
      </c>
      <c r="V2061" t="s">
        <v>589</v>
      </c>
    </row>
    <row r="2062" spans="1:22" x14ac:dyDescent="0.25">
      <c r="A2062" t="s">
        <v>198</v>
      </c>
      <c r="B2062">
        <v>82</v>
      </c>
      <c r="C2062" t="s">
        <v>197</v>
      </c>
      <c r="D2062">
        <v>2611</v>
      </c>
      <c r="E2062" s="1">
        <v>3.5799999999999998E-2</v>
      </c>
      <c r="F2062" s="1">
        <v>0.16289999999999999</v>
      </c>
      <c r="G2062" s="1">
        <v>1.4999999999999999E-2</v>
      </c>
      <c r="H2062" s="1">
        <v>0.1051</v>
      </c>
      <c r="I2062" s="1">
        <v>3.5799999999999998E-2</v>
      </c>
      <c r="J2062" s="1">
        <v>0.13489999999999999</v>
      </c>
      <c r="K2062" s="1">
        <v>4.4499999999999998E-2</v>
      </c>
      <c r="L2062" s="1">
        <v>5.0799999999999998E-2</v>
      </c>
      <c r="M2062" s="1">
        <v>9.0499999999999997E-2</v>
      </c>
      <c r="N2062" s="1">
        <v>0.16170000000000001</v>
      </c>
      <c r="O2062" s="1">
        <v>0.50590000000000002</v>
      </c>
      <c r="Q2062" s="1">
        <v>2.9899999999999999E-2</v>
      </c>
      <c r="T2062" s="1">
        <v>0.1411</v>
      </c>
      <c r="V2062" s="1">
        <v>0.22109999999999999</v>
      </c>
    </row>
    <row r="2063" spans="1:22" x14ac:dyDescent="0.25">
      <c r="A2063" t="s">
        <v>198</v>
      </c>
      <c r="B2063">
        <v>364</v>
      </c>
      <c r="C2063" t="s">
        <v>199</v>
      </c>
      <c r="D2063">
        <v>2611</v>
      </c>
      <c r="E2063" s="1">
        <v>1.29E-2</v>
      </c>
      <c r="F2063" s="1">
        <v>0.20619999999999999</v>
      </c>
      <c r="G2063" s="1">
        <v>2.7300000000000001E-2</v>
      </c>
      <c r="H2063" s="1">
        <v>0.14380000000000001</v>
      </c>
      <c r="I2063" s="1">
        <v>5.8900000000000001E-2</v>
      </c>
      <c r="J2063" s="1">
        <v>6.4899999999999999E-2</v>
      </c>
      <c r="K2063" s="1">
        <v>0.1678</v>
      </c>
      <c r="L2063" s="1">
        <v>9.1300000000000006E-2</v>
      </c>
      <c r="M2063" s="1">
        <v>0.1205</v>
      </c>
      <c r="N2063" s="1">
        <v>0.12139999999999999</v>
      </c>
      <c r="O2063" s="1">
        <v>0.4728</v>
      </c>
      <c r="P2063" s="1">
        <v>1.1999999999999999E-3</v>
      </c>
      <c r="Q2063" s="1">
        <v>8.6300000000000002E-2</v>
      </c>
      <c r="S2063" s="1">
        <v>1.46E-2</v>
      </c>
      <c r="T2063" s="1">
        <v>0.1244</v>
      </c>
      <c r="U2063" s="1">
        <v>1.38E-2</v>
      </c>
      <c r="V2063" s="1">
        <v>0.1721</v>
      </c>
    </row>
    <row r="2064" spans="1:22" x14ac:dyDescent="0.25">
      <c r="A2064" t="s">
        <v>198</v>
      </c>
      <c r="B2064">
        <v>386</v>
      </c>
      <c r="C2064" t="s">
        <v>200</v>
      </c>
      <c r="D2064">
        <v>2611</v>
      </c>
      <c r="E2064" s="1">
        <v>4.7300000000000002E-2</v>
      </c>
      <c r="F2064" s="1">
        <v>0.19009999999999999</v>
      </c>
      <c r="G2064" s="1">
        <v>2.2800000000000001E-2</v>
      </c>
      <c r="H2064" s="1">
        <v>0.12330000000000001</v>
      </c>
      <c r="I2064" s="1">
        <v>4.3900000000000002E-2</v>
      </c>
      <c r="J2064" s="1">
        <v>4.3400000000000001E-2</v>
      </c>
      <c r="K2064" s="1">
        <v>6.3600000000000004E-2</v>
      </c>
      <c r="L2064" s="1">
        <v>7.6300000000000007E-2</v>
      </c>
      <c r="M2064" s="1">
        <v>0.13689999999999999</v>
      </c>
      <c r="N2064" s="1">
        <v>0.17399999999999999</v>
      </c>
      <c r="O2064" s="1">
        <v>0.4773</v>
      </c>
      <c r="P2064" s="1">
        <v>7.7999999999999996E-3</v>
      </c>
      <c r="Q2064" s="1">
        <v>7.9899999999999999E-2</v>
      </c>
      <c r="R2064" s="1">
        <v>6.1999999999999998E-3</v>
      </c>
      <c r="S2064" s="1">
        <v>2.6200000000000001E-2</v>
      </c>
      <c r="T2064" s="1">
        <v>0.15609999999999999</v>
      </c>
      <c r="U2064" s="1">
        <v>1.7600000000000001E-2</v>
      </c>
      <c r="V2064" s="1">
        <v>0.20699999999999999</v>
      </c>
    </row>
    <row r="2065" spans="1:23" x14ac:dyDescent="0.25">
      <c r="A2065" t="s">
        <v>198</v>
      </c>
      <c r="B2065">
        <v>254</v>
      </c>
      <c r="C2065" t="s">
        <v>201</v>
      </c>
      <c r="D2065">
        <v>2611</v>
      </c>
      <c r="E2065" s="1">
        <v>1.66E-2</v>
      </c>
      <c r="F2065" s="1">
        <v>0.13300000000000001</v>
      </c>
      <c r="G2065" s="1">
        <v>4.36E-2</v>
      </c>
      <c r="H2065" s="1">
        <v>0.13869999999999999</v>
      </c>
      <c r="I2065" s="1">
        <v>7.6499999999999999E-2</v>
      </c>
      <c r="J2065" s="1">
        <v>7.8E-2</v>
      </c>
      <c r="K2065" s="1">
        <v>3.7499999999999999E-2</v>
      </c>
      <c r="L2065" s="1">
        <v>6.6799999999999998E-2</v>
      </c>
      <c r="M2065" s="1">
        <v>5.79E-2</v>
      </c>
      <c r="N2065" s="1">
        <v>4.58E-2</v>
      </c>
      <c r="O2065" s="1">
        <v>0.44940000000000002</v>
      </c>
      <c r="P2065" s="1">
        <v>9.4000000000000004E-3</v>
      </c>
      <c r="Q2065" s="1">
        <v>7.1199999999999999E-2</v>
      </c>
      <c r="R2065" s="1">
        <v>6.9999999999999999E-4</v>
      </c>
      <c r="S2065" s="1">
        <v>7.9000000000000008E-3</v>
      </c>
      <c r="T2065" s="1">
        <v>0.13730000000000001</v>
      </c>
      <c r="U2065" s="1">
        <v>2.3099999999999999E-2</v>
      </c>
      <c r="V2065" s="1">
        <v>0.2089</v>
      </c>
    </row>
    <row r="2066" spans="1:23" x14ac:dyDescent="0.25">
      <c r="A2066" t="s">
        <v>198</v>
      </c>
      <c r="B2066">
        <v>95</v>
      </c>
      <c r="C2066" t="s">
        <v>202</v>
      </c>
      <c r="D2066">
        <v>2611</v>
      </c>
      <c r="E2066" s="1">
        <v>8.48E-2</v>
      </c>
      <c r="F2066" s="1">
        <v>0.21920000000000001</v>
      </c>
      <c r="G2066" s="1">
        <v>9.4999999999999998E-3</v>
      </c>
      <c r="H2066" s="1">
        <v>0.2505</v>
      </c>
      <c r="I2066" s="1">
        <v>6.0699999999999997E-2</v>
      </c>
      <c r="J2066" s="1">
        <v>7.7799999999999994E-2</v>
      </c>
      <c r="K2066" s="1">
        <v>0.13059999999999999</v>
      </c>
      <c r="L2066" s="1">
        <v>9.69E-2</v>
      </c>
      <c r="M2066" s="1">
        <v>0.23069999999999999</v>
      </c>
      <c r="N2066" s="1">
        <v>0.2263</v>
      </c>
      <c r="O2066" s="1">
        <v>0.39850000000000002</v>
      </c>
      <c r="Q2066" s="1">
        <v>0.14779999999999999</v>
      </c>
      <c r="S2066" s="1">
        <v>4.4299999999999999E-2</v>
      </c>
      <c r="T2066" s="1">
        <v>0.14849999999999999</v>
      </c>
      <c r="U2066" s="1">
        <v>1.5299999999999999E-2</v>
      </c>
      <c r="V2066" s="1">
        <v>0.21790000000000001</v>
      </c>
    </row>
    <row r="2067" spans="1:23" x14ac:dyDescent="0.25">
      <c r="A2067" t="s">
        <v>203</v>
      </c>
      <c r="B2067">
        <v>524</v>
      </c>
      <c r="C2067" t="s">
        <v>199</v>
      </c>
      <c r="D2067">
        <v>2611</v>
      </c>
      <c r="E2067" s="1">
        <v>5.0000000000000001E-3</v>
      </c>
      <c r="F2067" s="1">
        <v>2.87E-2</v>
      </c>
      <c r="G2067" s="1">
        <v>2.1399999999999999E-2</v>
      </c>
      <c r="H2067" s="1">
        <v>7.4300000000000005E-2</v>
      </c>
      <c r="I2067" s="1">
        <v>3.0499999999999999E-2</v>
      </c>
      <c r="J2067" s="1">
        <v>4.5499999999999999E-2</v>
      </c>
      <c r="K2067" s="1">
        <v>4.8300000000000003E-2</v>
      </c>
      <c r="L2067" s="1">
        <v>1.8599999999999998E-2</v>
      </c>
      <c r="M2067" s="1">
        <v>1.7600000000000001E-2</v>
      </c>
      <c r="N2067" s="1">
        <v>9.2200000000000004E-2</v>
      </c>
      <c r="O2067" s="1">
        <v>0.73919999999999997</v>
      </c>
      <c r="P2067" s="1">
        <v>3.8999999999999998E-3</v>
      </c>
      <c r="Q2067" s="1">
        <v>2.3699999999999999E-2</v>
      </c>
      <c r="R2067" s="1">
        <v>1E-3</v>
      </c>
      <c r="S2067" s="1">
        <v>6.7999999999999996E-3</v>
      </c>
      <c r="T2067" s="1">
        <v>2.52E-2</v>
      </c>
      <c r="U2067" s="1">
        <v>1.8700000000000001E-2</v>
      </c>
      <c r="V2067" s="1">
        <v>7.3800000000000004E-2</v>
      </c>
    </row>
    <row r="2068" spans="1:23" x14ac:dyDescent="0.25">
      <c r="A2068" t="s">
        <v>203</v>
      </c>
      <c r="B2068">
        <v>497</v>
      </c>
      <c r="C2068" t="s">
        <v>200</v>
      </c>
      <c r="D2068">
        <v>2611</v>
      </c>
      <c r="E2068" s="1">
        <v>2.4299999999999999E-2</v>
      </c>
      <c r="F2068" s="1">
        <v>2.0500000000000001E-2</v>
      </c>
      <c r="G2068" s="1">
        <v>4.1999999999999997E-3</v>
      </c>
      <c r="H2068" s="1">
        <v>6.3E-2</v>
      </c>
      <c r="I2068" s="1">
        <v>2.9999999999999997E-4</v>
      </c>
      <c r="J2068" s="1">
        <v>1.7999999999999999E-2</v>
      </c>
      <c r="K2068" s="1">
        <v>8.9099999999999999E-2</v>
      </c>
      <c r="L2068" s="1">
        <v>2.4799999999999999E-2</v>
      </c>
      <c r="M2068" s="1">
        <v>3.5999999999999997E-2</v>
      </c>
      <c r="N2068" s="1">
        <v>9.8699999999999996E-2</v>
      </c>
      <c r="O2068" s="1">
        <v>0.78580000000000005</v>
      </c>
      <c r="P2068" s="1">
        <v>3.8E-3</v>
      </c>
      <c r="Q2068" s="1">
        <v>1.66E-2</v>
      </c>
      <c r="R2068" s="1">
        <v>1.1999999999999999E-3</v>
      </c>
      <c r="S2068" s="1">
        <v>1E-4</v>
      </c>
      <c r="T2068" s="1">
        <v>3.85E-2</v>
      </c>
      <c r="U2068" s="1">
        <v>4.65E-2</v>
      </c>
      <c r="V2068" s="1">
        <v>9.5500000000000002E-2</v>
      </c>
    </row>
    <row r="2069" spans="1:23" x14ac:dyDescent="0.25">
      <c r="A2069" t="s">
        <v>203</v>
      </c>
      <c r="B2069">
        <v>320</v>
      </c>
      <c r="C2069" t="s">
        <v>201</v>
      </c>
      <c r="D2069">
        <v>2611</v>
      </c>
      <c r="E2069" s="1">
        <v>1.9E-3</v>
      </c>
      <c r="F2069" s="1">
        <v>3.1800000000000002E-2</v>
      </c>
      <c r="G2069" s="1">
        <v>1.9E-2</v>
      </c>
      <c r="H2069" s="1">
        <v>7.6300000000000007E-2</v>
      </c>
      <c r="I2069" s="1">
        <v>3.4000000000000002E-2</v>
      </c>
      <c r="J2069" s="1">
        <v>8.14E-2</v>
      </c>
      <c r="K2069" s="1">
        <v>1.6E-2</v>
      </c>
      <c r="L2069" s="1">
        <v>4.1099999999999998E-2</v>
      </c>
      <c r="M2069" s="1">
        <v>3.4299999999999997E-2</v>
      </c>
      <c r="N2069" s="1">
        <v>3.5400000000000001E-2</v>
      </c>
      <c r="O2069" s="1">
        <v>0.78710000000000002</v>
      </c>
      <c r="P2069" s="1">
        <v>3.7000000000000002E-3</v>
      </c>
      <c r="Q2069" s="1">
        <v>2.9499999999999998E-2</v>
      </c>
      <c r="S2069" s="1">
        <v>1.26E-2</v>
      </c>
      <c r="T2069" s="1">
        <v>5.4300000000000001E-2</v>
      </c>
      <c r="U2069" s="1">
        <v>4.1799999999999997E-2</v>
      </c>
      <c r="V2069" s="1">
        <v>0.1041</v>
      </c>
    </row>
    <row r="2070" spans="1:23" x14ac:dyDescent="0.25">
      <c r="A2070" t="s">
        <v>203</v>
      </c>
      <c r="B2070">
        <v>89</v>
      </c>
      <c r="C2070" t="s">
        <v>202</v>
      </c>
      <c r="D2070">
        <v>2611</v>
      </c>
      <c r="E2070" s="1">
        <v>8.6999999999999994E-3</v>
      </c>
      <c r="F2070" s="1">
        <v>2.12E-2</v>
      </c>
      <c r="G2070" s="1">
        <v>1.1900000000000001E-2</v>
      </c>
      <c r="H2070" s="1">
        <v>2.5000000000000001E-2</v>
      </c>
      <c r="I2070" s="1">
        <v>2.06E-2</v>
      </c>
      <c r="J2070" s="1">
        <v>3.9699999999999999E-2</v>
      </c>
      <c r="K2070" s="1">
        <v>4.2599999999999999E-2</v>
      </c>
      <c r="L2070" s="1">
        <v>1.5299999999999999E-2</v>
      </c>
      <c r="M2070" s="1">
        <v>2.8899999999999999E-2</v>
      </c>
      <c r="N2070" s="1">
        <v>0.1065</v>
      </c>
      <c r="O2070" s="1">
        <v>0.80859999999999999</v>
      </c>
      <c r="Q2070" s="1">
        <v>2.4400000000000002E-2</v>
      </c>
      <c r="S2070" s="1">
        <v>1.5299999999999999E-2</v>
      </c>
      <c r="T2070" s="1">
        <v>4.8599999999999997E-2</v>
      </c>
      <c r="U2070" s="1">
        <v>1.03E-2</v>
      </c>
      <c r="V2070" s="1">
        <v>8.0699999999999994E-2</v>
      </c>
    </row>
    <row r="2071" spans="1:23" x14ac:dyDescent="0.25">
      <c r="A2071" t="s">
        <v>204</v>
      </c>
      <c r="B2071">
        <v>2611</v>
      </c>
      <c r="C2071" t="s">
        <v>204</v>
      </c>
      <c r="D2071">
        <v>2611</v>
      </c>
      <c r="E2071" s="1">
        <v>2.7400000000000001E-2</v>
      </c>
      <c r="F2071" s="1">
        <v>0.1003</v>
      </c>
      <c r="G2071" s="1">
        <v>1.5900000000000001E-2</v>
      </c>
      <c r="H2071" s="1">
        <v>0.1051</v>
      </c>
      <c r="I2071" s="1">
        <v>3.15E-2</v>
      </c>
      <c r="J2071" s="1">
        <v>5.1299999999999998E-2</v>
      </c>
      <c r="K2071" s="1">
        <v>8.2699999999999996E-2</v>
      </c>
      <c r="L2071" s="1">
        <v>4.9700000000000001E-2</v>
      </c>
      <c r="M2071" s="1">
        <v>7.9600000000000004E-2</v>
      </c>
      <c r="N2071" s="1">
        <v>0.12089999999999999</v>
      </c>
      <c r="O2071" s="1">
        <v>0.63219999999999998</v>
      </c>
      <c r="P2071" s="1">
        <v>3.5000000000000001E-3</v>
      </c>
      <c r="Q2071" s="1">
        <v>5.1200000000000002E-2</v>
      </c>
      <c r="R2071" s="1">
        <v>1.2999999999999999E-3</v>
      </c>
      <c r="S2071" s="1">
        <v>1.21E-2</v>
      </c>
      <c r="T2071" s="1">
        <v>8.5500000000000007E-2</v>
      </c>
      <c r="U2071" s="1">
        <v>2.5999999999999999E-2</v>
      </c>
      <c r="V2071" s="1">
        <v>0.1411</v>
      </c>
    </row>
    <row r="2073" spans="1:23" x14ac:dyDescent="0.25">
      <c r="A2073" t="s">
        <v>590</v>
      </c>
    </row>
    <row r="2074" spans="1:23" x14ac:dyDescent="0.25">
      <c r="A2074" t="s">
        <v>190</v>
      </c>
      <c r="B2074" t="s">
        <v>206</v>
      </c>
      <c r="C2074" t="s">
        <v>195</v>
      </c>
      <c r="D2074" t="s">
        <v>189</v>
      </c>
      <c r="E2074" t="s">
        <v>196</v>
      </c>
      <c r="F2074" t="s">
        <v>576</v>
      </c>
      <c r="G2074" t="s">
        <v>577</v>
      </c>
      <c r="H2074" t="s">
        <v>220</v>
      </c>
      <c r="I2074" t="s">
        <v>578</v>
      </c>
      <c r="J2074" t="s">
        <v>579</v>
      </c>
      <c r="K2074" t="s">
        <v>580</v>
      </c>
      <c r="L2074" t="s">
        <v>581</v>
      </c>
      <c r="M2074" t="s">
        <v>582</v>
      </c>
      <c r="N2074" t="s">
        <v>583</v>
      </c>
      <c r="O2074" t="s">
        <v>584</v>
      </c>
      <c r="P2074" t="s">
        <v>271</v>
      </c>
      <c r="Q2074" t="s">
        <v>235</v>
      </c>
      <c r="R2074" t="s">
        <v>585</v>
      </c>
      <c r="S2074" t="s">
        <v>215</v>
      </c>
      <c r="T2074" t="s">
        <v>586</v>
      </c>
      <c r="U2074" t="s">
        <v>587</v>
      </c>
      <c r="V2074" t="s">
        <v>588</v>
      </c>
      <c r="W2074" t="s">
        <v>589</v>
      </c>
    </row>
    <row r="2075" spans="1:23" x14ac:dyDescent="0.25">
      <c r="A2075" t="s">
        <v>198</v>
      </c>
      <c r="B2075" t="s">
        <v>228</v>
      </c>
      <c r="C2075">
        <v>33</v>
      </c>
      <c r="D2075" t="s">
        <v>197</v>
      </c>
      <c r="E2075">
        <v>2611</v>
      </c>
      <c r="F2075" s="1">
        <v>5.11E-2</v>
      </c>
      <c r="G2075" s="1">
        <v>9.11E-2</v>
      </c>
      <c r="I2075" s="1">
        <v>6.8400000000000002E-2</v>
      </c>
      <c r="J2075" s="1">
        <v>2.5600000000000001E-2</v>
      </c>
      <c r="K2075" s="1">
        <v>0.214</v>
      </c>
      <c r="L2075" s="1">
        <v>5.11E-2</v>
      </c>
      <c r="M2075" s="1">
        <v>4.9200000000000001E-2</v>
      </c>
      <c r="N2075" s="1">
        <v>5.74E-2</v>
      </c>
      <c r="O2075" s="1">
        <v>0.1668</v>
      </c>
      <c r="P2075" s="1">
        <v>0.50990000000000002</v>
      </c>
      <c r="R2075" s="1">
        <v>1.7299999999999999E-2</v>
      </c>
      <c r="U2075" s="1">
        <v>7.3700000000000002E-2</v>
      </c>
      <c r="W2075" s="1">
        <v>0.1166</v>
      </c>
    </row>
    <row r="2076" spans="1:23" x14ac:dyDescent="0.25">
      <c r="A2076" t="s">
        <v>198</v>
      </c>
      <c r="B2076" t="s">
        <v>229</v>
      </c>
      <c r="C2076">
        <v>49</v>
      </c>
      <c r="D2076" t="s">
        <v>197</v>
      </c>
      <c r="E2076">
        <v>2611</v>
      </c>
      <c r="F2076" s="1">
        <v>2.4199999999999999E-2</v>
      </c>
      <c r="G2076" s="1">
        <v>0.21759999999999999</v>
      </c>
      <c r="H2076" s="1">
        <v>2.63E-2</v>
      </c>
      <c r="I2076" s="1">
        <v>0.13289999999999999</v>
      </c>
      <c r="J2076" s="1">
        <v>4.36E-2</v>
      </c>
      <c r="K2076" s="1">
        <v>7.4800000000000005E-2</v>
      </c>
      <c r="L2076" s="1">
        <v>3.95E-2</v>
      </c>
      <c r="M2076" s="1">
        <v>5.1999999999999998E-2</v>
      </c>
      <c r="N2076" s="1">
        <v>0.1157</v>
      </c>
      <c r="O2076" s="1">
        <v>0.15790000000000001</v>
      </c>
      <c r="P2076" s="1">
        <v>0.50290000000000001</v>
      </c>
      <c r="R2076" s="1">
        <v>3.95E-2</v>
      </c>
      <c r="U2076" s="1">
        <v>0.19239999999999999</v>
      </c>
      <c r="W2076" s="1">
        <v>0.30049999999999999</v>
      </c>
    </row>
    <row r="2077" spans="1:23" x14ac:dyDescent="0.25">
      <c r="A2077" t="s">
        <v>198</v>
      </c>
      <c r="B2077" t="s">
        <v>228</v>
      </c>
      <c r="C2077">
        <v>143</v>
      </c>
      <c r="D2077" t="s">
        <v>199</v>
      </c>
      <c r="E2077">
        <v>2611</v>
      </c>
      <c r="F2077" s="1">
        <v>2.81E-2</v>
      </c>
      <c r="G2077" s="1">
        <v>0.16170000000000001</v>
      </c>
      <c r="H2077" s="1">
        <v>1.52E-2</v>
      </c>
      <c r="I2077" s="1">
        <v>0.13569999999999999</v>
      </c>
      <c r="J2077" s="1">
        <v>5.7000000000000002E-2</v>
      </c>
      <c r="K2077" s="1">
        <v>0.188</v>
      </c>
      <c r="L2077" s="1">
        <v>0.16259999999999999</v>
      </c>
      <c r="M2077" s="1">
        <v>8.4199999999999997E-2</v>
      </c>
      <c r="N2077" s="1">
        <v>0.10730000000000001</v>
      </c>
      <c r="O2077" s="1">
        <v>0.1421</v>
      </c>
      <c r="P2077" s="1">
        <v>0.49409999999999998</v>
      </c>
      <c r="Q2077" s="1">
        <v>3.3999999999999998E-3</v>
      </c>
      <c r="R2077" s="1">
        <v>0.1101</v>
      </c>
      <c r="T2077" s="1">
        <v>1.61E-2</v>
      </c>
      <c r="U2077" s="1">
        <v>0.1076</v>
      </c>
      <c r="V2077" s="1">
        <v>2.4899999999999999E-2</v>
      </c>
      <c r="W2077" s="1">
        <v>0.16309999999999999</v>
      </c>
    </row>
    <row r="2078" spans="1:23" x14ac:dyDescent="0.25">
      <c r="A2078" t="s">
        <v>198</v>
      </c>
      <c r="B2078" t="s">
        <v>229</v>
      </c>
      <c r="C2078">
        <v>211</v>
      </c>
      <c r="D2078" t="s">
        <v>199</v>
      </c>
      <c r="E2078">
        <v>2611</v>
      </c>
      <c r="F2078" s="1">
        <v>7.1999999999999998E-3</v>
      </c>
      <c r="G2078" s="1">
        <v>0.22259999999999999</v>
      </c>
      <c r="H2078" s="1">
        <v>3.1800000000000002E-2</v>
      </c>
      <c r="I2078" s="1">
        <v>0.14680000000000001</v>
      </c>
      <c r="J2078" s="1">
        <v>6.0100000000000001E-2</v>
      </c>
      <c r="K2078" s="1">
        <v>2.18E-2</v>
      </c>
      <c r="L2078" s="1">
        <v>0.1709</v>
      </c>
      <c r="M2078" s="1">
        <v>9.4299999999999995E-2</v>
      </c>
      <c r="N2078" s="1">
        <v>0.12470000000000001</v>
      </c>
      <c r="O2078" s="1">
        <v>0.1148</v>
      </c>
      <c r="P2078" s="1">
        <v>0.46510000000000001</v>
      </c>
      <c r="Q2078" s="1">
        <v>4.0000000000000002E-4</v>
      </c>
      <c r="R2078" s="1">
        <v>7.6600000000000001E-2</v>
      </c>
      <c r="T2078" s="1">
        <v>1.2500000000000001E-2</v>
      </c>
      <c r="U2078" s="1">
        <v>0.13039999999999999</v>
      </c>
      <c r="V2078" s="1">
        <v>1.01E-2</v>
      </c>
      <c r="W2078" s="1">
        <v>0.17580000000000001</v>
      </c>
    </row>
    <row r="2079" spans="1:23" x14ac:dyDescent="0.25">
      <c r="A2079" t="s">
        <v>198</v>
      </c>
      <c r="B2079" t="s">
        <v>229</v>
      </c>
      <c r="C2079">
        <v>269</v>
      </c>
      <c r="D2079" t="s">
        <v>200</v>
      </c>
      <c r="E2079">
        <v>2611</v>
      </c>
      <c r="F2079" s="1">
        <v>4.3499999999999997E-2</v>
      </c>
      <c r="G2079" s="1">
        <v>0.17380000000000001</v>
      </c>
      <c r="H2079" s="1">
        <v>1.9099999999999999E-2</v>
      </c>
      <c r="I2079" s="1">
        <v>0.1193</v>
      </c>
      <c r="J2079" s="1">
        <v>4.3299999999999998E-2</v>
      </c>
      <c r="K2079" s="1">
        <v>1.61E-2</v>
      </c>
      <c r="L2079" s="1">
        <v>4.7699999999999999E-2</v>
      </c>
      <c r="M2079" s="1">
        <v>6.6100000000000006E-2</v>
      </c>
      <c r="N2079" s="1">
        <v>0.1144</v>
      </c>
      <c r="O2079" s="1">
        <v>0.1719</v>
      </c>
      <c r="P2079" s="1">
        <v>0.50670000000000004</v>
      </c>
      <c r="Q2079" s="1">
        <v>8.2000000000000007E-3</v>
      </c>
      <c r="R2079" s="1">
        <v>7.8799999999999995E-2</v>
      </c>
      <c r="S2079" s="1">
        <v>4.1000000000000003E-3</v>
      </c>
      <c r="T2079" s="1">
        <v>2.4400000000000002E-2</v>
      </c>
      <c r="U2079" s="1">
        <v>0.15110000000000001</v>
      </c>
      <c r="V2079" s="1">
        <v>1.21E-2</v>
      </c>
      <c r="W2079" s="1">
        <v>0.1862</v>
      </c>
    </row>
    <row r="2080" spans="1:23" x14ac:dyDescent="0.25">
      <c r="A2080" t="s">
        <v>198</v>
      </c>
      <c r="B2080" t="s">
        <v>228</v>
      </c>
      <c r="C2080">
        <v>112</v>
      </c>
      <c r="D2080" t="s">
        <v>200</v>
      </c>
      <c r="E2080">
        <v>2611</v>
      </c>
      <c r="F2080" s="1">
        <v>6.0900000000000003E-2</v>
      </c>
      <c r="G2080" s="1">
        <v>0.24940000000000001</v>
      </c>
      <c r="H2080" s="1">
        <v>3.5700000000000003E-2</v>
      </c>
      <c r="I2080" s="1">
        <v>0.1298</v>
      </c>
      <c r="J2080" s="1">
        <v>3.7499999999999999E-2</v>
      </c>
      <c r="K2080" s="1">
        <v>0.13339999999999999</v>
      </c>
      <c r="L2080" s="1">
        <v>0.1079</v>
      </c>
      <c r="M2080" s="1">
        <v>0.10199999999999999</v>
      </c>
      <c r="N2080" s="1">
        <v>0.2147</v>
      </c>
      <c r="O2080" s="1">
        <v>0.1857</v>
      </c>
      <c r="P2080" s="1">
        <v>0.37569999999999998</v>
      </c>
      <c r="Q2080" s="1">
        <v>6.6E-3</v>
      </c>
      <c r="R2080" s="1">
        <v>7.6499999999999999E-2</v>
      </c>
      <c r="S2080" s="1">
        <v>1.3299999999999999E-2</v>
      </c>
      <c r="T2080" s="1">
        <v>2.3300000000000001E-2</v>
      </c>
      <c r="U2080" s="1">
        <v>0.16769999999999999</v>
      </c>
      <c r="V2080" s="1">
        <v>2.63E-2</v>
      </c>
      <c r="W2080" s="1">
        <v>0.27160000000000001</v>
      </c>
    </row>
    <row r="2081" spans="1:23" x14ac:dyDescent="0.25">
      <c r="A2081" t="s">
        <v>198</v>
      </c>
      <c r="B2081" t="s">
        <v>228</v>
      </c>
      <c r="C2081">
        <v>94</v>
      </c>
      <c r="D2081" t="s">
        <v>201</v>
      </c>
      <c r="E2081">
        <v>2611</v>
      </c>
      <c r="F2081" s="1">
        <v>1.67E-2</v>
      </c>
      <c r="G2081" s="1">
        <v>0.1714</v>
      </c>
      <c r="H2081" s="1">
        <v>4.1200000000000001E-2</v>
      </c>
      <c r="I2081" s="1">
        <v>0.2145</v>
      </c>
      <c r="J2081" s="1">
        <v>9.4200000000000006E-2</v>
      </c>
      <c r="K2081" s="1">
        <v>0.18890000000000001</v>
      </c>
      <c r="L2081" s="1">
        <v>6.2199999999999998E-2</v>
      </c>
      <c r="M2081" s="1">
        <v>8.6699999999999999E-2</v>
      </c>
      <c r="N2081" s="1">
        <v>7.4499999999999997E-2</v>
      </c>
      <c r="O2081" s="1">
        <v>0.1085</v>
      </c>
      <c r="P2081" s="1">
        <v>0.43540000000000001</v>
      </c>
      <c r="R2081" s="1">
        <v>0.10630000000000001</v>
      </c>
      <c r="T2081" s="1">
        <v>2.1399999999999999E-2</v>
      </c>
      <c r="U2081" s="1">
        <v>0.1081</v>
      </c>
      <c r="V2081" s="1">
        <v>7.4000000000000003E-3</v>
      </c>
      <c r="W2081" s="1">
        <v>0.18279999999999999</v>
      </c>
    </row>
    <row r="2082" spans="1:23" x14ac:dyDescent="0.25">
      <c r="A2082" t="s">
        <v>198</v>
      </c>
      <c r="B2082" t="s">
        <v>229</v>
      </c>
      <c r="C2082">
        <v>154</v>
      </c>
      <c r="D2082" t="s">
        <v>201</v>
      </c>
      <c r="E2082">
        <v>2611</v>
      </c>
      <c r="F2082" s="1">
        <v>1.6799999999999999E-2</v>
      </c>
      <c r="G2082" s="1">
        <v>0.1176</v>
      </c>
      <c r="H2082" s="1">
        <v>4.4900000000000002E-2</v>
      </c>
      <c r="I2082" s="1">
        <v>0.1198</v>
      </c>
      <c r="J2082" s="1">
        <v>6.6799999999999998E-2</v>
      </c>
      <c r="K2082" s="1">
        <v>4.8500000000000001E-2</v>
      </c>
      <c r="L2082" s="1">
        <v>3.1199999999999999E-2</v>
      </c>
      <c r="M2082" s="1">
        <v>5.6399999999999999E-2</v>
      </c>
      <c r="N2082" s="1">
        <v>5.3199999999999997E-2</v>
      </c>
      <c r="O2082" s="1">
        <v>2.8199999999999999E-2</v>
      </c>
      <c r="P2082" s="1">
        <v>0.4582</v>
      </c>
      <c r="Q2082" s="1">
        <v>1.2200000000000001E-2</v>
      </c>
      <c r="R2082" s="1">
        <v>5.67E-2</v>
      </c>
      <c r="S2082" s="1">
        <v>8.9999999999999998E-4</v>
      </c>
      <c r="T2082" s="1">
        <v>4.1999999999999997E-3</v>
      </c>
      <c r="U2082" s="1">
        <v>0.14050000000000001</v>
      </c>
      <c r="V2082" s="1">
        <v>2.7699999999999999E-2</v>
      </c>
      <c r="W2082" s="1">
        <v>0.2132</v>
      </c>
    </row>
    <row r="2083" spans="1:23" s="29" customFormat="1" x14ac:dyDescent="0.25">
      <c r="A2083" s="29" t="s">
        <v>198</v>
      </c>
      <c r="B2083" s="29" t="s">
        <v>228</v>
      </c>
      <c r="C2083" s="29">
        <v>27</v>
      </c>
      <c r="D2083" s="29" t="s">
        <v>202</v>
      </c>
      <c r="E2083" s="29">
        <v>2611</v>
      </c>
      <c r="F2083" s="30">
        <v>8.6999999999999994E-2</v>
      </c>
      <c r="G2083" s="30">
        <v>0.33300000000000002</v>
      </c>
      <c r="I2083" s="30">
        <v>0.44400000000000001</v>
      </c>
      <c r="J2083" s="30">
        <v>0.21379999999999999</v>
      </c>
      <c r="K2083" s="30">
        <v>0.21829999999999999</v>
      </c>
      <c r="L2083" s="30">
        <v>0.2291</v>
      </c>
      <c r="M2083" s="30">
        <v>0.2291</v>
      </c>
      <c r="N2083" s="30">
        <v>0.25309999999999999</v>
      </c>
      <c r="O2083" s="30">
        <v>0.36849999999999999</v>
      </c>
      <c r="P2083" s="30">
        <v>0.21529999999999999</v>
      </c>
      <c r="R2083" s="30">
        <v>0.37359999999999999</v>
      </c>
      <c r="T2083" s="30">
        <v>6.5299999999999997E-2</v>
      </c>
      <c r="U2083" s="30">
        <v>0.32790000000000002</v>
      </c>
      <c r="V2083" s="30">
        <v>6.5299999999999997E-2</v>
      </c>
      <c r="W2083" s="30">
        <v>0.48949999999999999</v>
      </c>
    </row>
    <row r="2084" spans="1:23" x14ac:dyDescent="0.25">
      <c r="A2084" t="s">
        <v>198</v>
      </c>
      <c r="B2084" t="s">
        <v>229</v>
      </c>
      <c r="C2084">
        <v>68</v>
      </c>
      <c r="D2084" t="s">
        <v>202</v>
      </c>
      <c r="E2084">
        <v>2611</v>
      </c>
      <c r="F2084" s="1">
        <v>8.4099999999999994E-2</v>
      </c>
      <c r="G2084" s="1">
        <v>0.18429999999999999</v>
      </c>
      <c r="H2084" s="1">
        <v>1.24E-2</v>
      </c>
      <c r="I2084" s="1">
        <v>0.1913</v>
      </c>
      <c r="J2084" s="1">
        <v>1.38E-2</v>
      </c>
      <c r="K2084" s="1">
        <v>3.4799999999999998E-2</v>
      </c>
      <c r="L2084" s="1">
        <v>0.1004</v>
      </c>
      <c r="M2084" s="1">
        <v>5.6399999999999999E-2</v>
      </c>
      <c r="N2084" s="1">
        <v>0.2238</v>
      </c>
      <c r="O2084" s="1">
        <v>0.18279999999999999</v>
      </c>
      <c r="P2084" s="1">
        <v>0.4546</v>
      </c>
      <c r="R2084" s="1">
        <v>7.8600000000000003E-2</v>
      </c>
      <c r="T2084" s="1">
        <v>3.78E-2</v>
      </c>
      <c r="U2084" s="1">
        <v>9.3600000000000003E-2</v>
      </c>
      <c r="W2084" s="1">
        <v>0.13469999999999999</v>
      </c>
    </row>
    <row r="2085" spans="1:23" x14ac:dyDescent="0.25">
      <c r="A2085" t="s">
        <v>203</v>
      </c>
      <c r="B2085" t="s">
        <v>229</v>
      </c>
      <c r="C2085">
        <v>366</v>
      </c>
      <c r="D2085" t="s">
        <v>199</v>
      </c>
      <c r="E2085">
        <v>2611</v>
      </c>
      <c r="F2085" s="1">
        <v>4.7999999999999996E-3</v>
      </c>
      <c r="G2085" s="1">
        <v>2.3900000000000001E-2</v>
      </c>
      <c r="H2085" s="1">
        <v>2.3599999999999999E-2</v>
      </c>
      <c r="I2085" s="1">
        <v>7.1999999999999995E-2</v>
      </c>
      <c r="J2085" s="1">
        <v>2.9899999999999999E-2</v>
      </c>
      <c r="K2085" s="1">
        <v>2.7799999999999998E-2</v>
      </c>
      <c r="L2085" s="1">
        <v>4.7E-2</v>
      </c>
      <c r="M2085" s="1">
        <v>1.95E-2</v>
      </c>
      <c r="N2085" s="1">
        <v>1.6E-2</v>
      </c>
      <c r="O2085" s="1">
        <v>8.7300000000000003E-2</v>
      </c>
      <c r="P2085" s="1">
        <v>0.7641</v>
      </c>
      <c r="Q2085" s="1">
        <v>1.9E-3</v>
      </c>
      <c r="R2085" s="1">
        <v>2.24E-2</v>
      </c>
      <c r="T2085" s="1">
        <v>3.5999999999999999E-3</v>
      </c>
      <c r="U2085" s="1">
        <v>2.1899999999999999E-2</v>
      </c>
      <c r="V2085" s="1">
        <v>2.0400000000000001E-2</v>
      </c>
      <c r="W2085" s="1">
        <v>7.2499999999999995E-2</v>
      </c>
    </row>
    <row r="2086" spans="1:23" x14ac:dyDescent="0.25">
      <c r="A2086" t="s">
        <v>203</v>
      </c>
      <c r="B2086" t="s">
        <v>228</v>
      </c>
      <c r="C2086">
        <v>148</v>
      </c>
      <c r="D2086" t="s">
        <v>199</v>
      </c>
      <c r="E2086">
        <v>2611</v>
      </c>
      <c r="F2086" s="1">
        <v>7.0000000000000001E-3</v>
      </c>
      <c r="G2086" s="1">
        <v>6.4600000000000005E-2</v>
      </c>
      <c r="H2086" s="1">
        <v>2.7000000000000001E-3</v>
      </c>
      <c r="I2086" s="1">
        <v>9.0999999999999998E-2</v>
      </c>
      <c r="J2086" s="1">
        <v>3.1399999999999997E-2</v>
      </c>
      <c r="K2086" s="1">
        <v>0.18709999999999999</v>
      </c>
      <c r="L2086" s="1">
        <v>6.1499999999999999E-2</v>
      </c>
      <c r="M2086" s="1">
        <v>1.11E-2</v>
      </c>
      <c r="N2086" s="1">
        <v>3.1800000000000002E-2</v>
      </c>
      <c r="O2086" s="1">
        <v>0.13800000000000001</v>
      </c>
      <c r="P2086" s="1">
        <v>0.53949999999999998</v>
      </c>
      <c r="Q2086" s="1">
        <v>2.1299999999999999E-2</v>
      </c>
      <c r="R2086" s="1">
        <v>2.4400000000000002E-2</v>
      </c>
      <c r="S2086" s="1">
        <v>9.4999999999999998E-3</v>
      </c>
      <c r="T2086" s="1">
        <v>2.8799999999999999E-2</v>
      </c>
      <c r="U2086" s="1">
        <v>5.4199999999999998E-2</v>
      </c>
      <c r="V2086" s="1">
        <v>5.1999999999999998E-3</v>
      </c>
      <c r="W2086" s="1">
        <v>8.7999999999999995E-2</v>
      </c>
    </row>
    <row r="2087" spans="1:23" x14ac:dyDescent="0.25">
      <c r="A2087" t="s">
        <v>203</v>
      </c>
      <c r="B2087" t="s">
        <v>229</v>
      </c>
      <c r="C2087">
        <v>344</v>
      </c>
      <c r="D2087" t="s">
        <v>200</v>
      </c>
      <c r="E2087">
        <v>2611</v>
      </c>
      <c r="F2087" s="1">
        <v>2.9499999999999998E-2</v>
      </c>
      <c r="G2087" s="1">
        <v>1.67E-2</v>
      </c>
      <c r="H2087" s="1">
        <v>4.3E-3</v>
      </c>
      <c r="I2087" s="1">
        <v>7.1099999999999997E-2</v>
      </c>
      <c r="J2087" s="1">
        <v>2.9999999999999997E-4</v>
      </c>
      <c r="K2087" s="1">
        <v>2.2000000000000001E-3</v>
      </c>
      <c r="L2087" s="1">
        <v>9.0700000000000003E-2</v>
      </c>
      <c r="M2087" s="1">
        <v>2.58E-2</v>
      </c>
      <c r="N2087" s="1">
        <v>3.2000000000000001E-2</v>
      </c>
      <c r="O2087" s="1">
        <v>9.4500000000000001E-2</v>
      </c>
      <c r="P2087" s="1">
        <v>0.79120000000000001</v>
      </c>
      <c r="Q2087" s="1">
        <v>4.7000000000000002E-3</v>
      </c>
      <c r="R2087" s="1">
        <v>1.9400000000000001E-2</v>
      </c>
      <c r="S2087" s="1">
        <v>1.5E-3</v>
      </c>
      <c r="U2087" s="1">
        <v>3.7100000000000001E-2</v>
      </c>
      <c r="V2087" s="1">
        <v>5.1200000000000002E-2</v>
      </c>
      <c r="W2087" s="1">
        <v>9.4700000000000006E-2</v>
      </c>
    </row>
    <row r="2088" spans="1:23" x14ac:dyDescent="0.25">
      <c r="A2088" t="s">
        <v>203</v>
      </c>
      <c r="B2088" t="s">
        <v>228</v>
      </c>
      <c r="C2088">
        <v>152</v>
      </c>
      <c r="D2088" t="s">
        <v>200</v>
      </c>
      <c r="E2088">
        <v>2611</v>
      </c>
      <c r="F2088" s="1">
        <v>2.2000000000000001E-3</v>
      </c>
      <c r="G2088" s="1">
        <v>3.6700000000000003E-2</v>
      </c>
      <c r="H2088" s="1">
        <v>3.5999999999999999E-3</v>
      </c>
      <c r="I2088" s="1">
        <v>2.8799999999999999E-2</v>
      </c>
      <c r="J2088" s="1">
        <v>4.0000000000000002E-4</v>
      </c>
      <c r="K2088" s="1">
        <v>8.48E-2</v>
      </c>
      <c r="L2088" s="1">
        <v>8.2299999999999998E-2</v>
      </c>
      <c r="M2088" s="1">
        <v>2.0299999999999999E-2</v>
      </c>
      <c r="N2088" s="1">
        <v>5.3199999999999997E-2</v>
      </c>
      <c r="O2088" s="1">
        <v>0.11650000000000001</v>
      </c>
      <c r="P2088" s="1">
        <v>0.76300000000000001</v>
      </c>
      <c r="R2088" s="1">
        <v>4.7000000000000002E-3</v>
      </c>
      <c r="T2088" s="1">
        <v>6.9999999999999999E-4</v>
      </c>
      <c r="U2088" s="1">
        <v>4.4400000000000002E-2</v>
      </c>
      <c r="V2088" s="1">
        <v>2.6599999999999999E-2</v>
      </c>
      <c r="W2088" s="1">
        <v>9.9199999999999997E-2</v>
      </c>
    </row>
    <row r="2089" spans="1:23" x14ac:dyDescent="0.25">
      <c r="A2089" t="s">
        <v>203</v>
      </c>
      <c r="B2089" t="s">
        <v>229</v>
      </c>
      <c r="C2089">
        <v>137</v>
      </c>
      <c r="D2089" t="s">
        <v>201</v>
      </c>
      <c r="E2089">
        <v>2611</v>
      </c>
      <c r="G2089" s="1">
        <v>2.1899999999999999E-2</v>
      </c>
      <c r="H2089" s="1">
        <v>2.23E-2</v>
      </c>
      <c r="I2089" s="1">
        <v>4.41E-2</v>
      </c>
      <c r="J2089" s="1">
        <v>2.0299999999999999E-2</v>
      </c>
      <c r="K2089" s="1">
        <v>2.69E-2</v>
      </c>
      <c r="L2089" s="1">
        <v>3.0999999999999999E-3</v>
      </c>
      <c r="M2089" s="1">
        <v>1.32E-2</v>
      </c>
      <c r="N2089" s="1">
        <v>1.11E-2</v>
      </c>
      <c r="O2089" s="1">
        <v>1.77E-2</v>
      </c>
      <c r="P2089" s="1">
        <v>0.89570000000000005</v>
      </c>
      <c r="Q2089" s="1">
        <v>4.1000000000000003E-3</v>
      </c>
      <c r="R2089" s="1">
        <v>1.3599999999999999E-2</v>
      </c>
      <c r="T2089" s="1">
        <v>4.8999999999999998E-3</v>
      </c>
      <c r="U2089" s="1">
        <v>4.2000000000000003E-2</v>
      </c>
      <c r="V2089" s="1">
        <v>1.83E-2</v>
      </c>
      <c r="W2089" s="1">
        <v>4.7300000000000002E-2</v>
      </c>
    </row>
    <row r="2090" spans="1:23" x14ac:dyDescent="0.25">
      <c r="A2090" t="s">
        <v>203</v>
      </c>
      <c r="B2090" t="s">
        <v>228</v>
      </c>
      <c r="C2090">
        <v>176</v>
      </c>
      <c r="D2090" t="s">
        <v>201</v>
      </c>
      <c r="E2090">
        <v>2611</v>
      </c>
      <c r="F2090" s="1">
        <v>7.9000000000000008E-3</v>
      </c>
      <c r="G2090" s="1">
        <v>6.2899999999999998E-2</v>
      </c>
      <c r="H2090" s="1">
        <v>8.6999999999999994E-3</v>
      </c>
      <c r="I2090" s="1">
        <v>0.1792</v>
      </c>
      <c r="J2090" s="1">
        <v>7.8E-2</v>
      </c>
      <c r="K2090" s="1">
        <v>0.25559999999999999</v>
      </c>
      <c r="L2090" s="1">
        <v>5.7200000000000001E-2</v>
      </c>
      <c r="M2090" s="1">
        <v>0.1303</v>
      </c>
      <c r="N2090" s="1">
        <v>0.1084</v>
      </c>
      <c r="O2090" s="1">
        <v>9.1999999999999998E-2</v>
      </c>
      <c r="P2090" s="1">
        <v>0.44190000000000002</v>
      </c>
      <c r="Q2090" s="1">
        <v>2.5000000000000001E-3</v>
      </c>
      <c r="R2090" s="1">
        <v>7.9699999999999993E-2</v>
      </c>
      <c r="T2090" s="1">
        <v>3.7100000000000001E-2</v>
      </c>
      <c r="U2090" s="1">
        <v>9.1399999999999995E-2</v>
      </c>
      <c r="V2090" s="1">
        <v>0.1171</v>
      </c>
      <c r="W2090" s="1">
        <v>0.28399999999999997</v>
      </c>
    </row>
    <row r="2091" spans="1:23" x14ac:dyDescent="0.25">
      <c r="A2091" t="s">
        <v>203</v>
      </c>
      <c r="B2091" t="s">
        <v>228</v>
      </c>
      <c r="C2091">
        <v>34</v>
      </c>
      <c r="D2091" t="s">
        <v>202</v>
      </c>
      <c r="E2091">
        <v>2611</v>
      </c>
      <c r="F2091" s="1">
        <v>1.32E-2</v>
      </c>
      <c r="H2091" s="1">
        <v>2.0899999999999998E-2</v>
      </c>
      <c r="K2091" s="1">
        <v>0.10100000000000001</v>
      </c>
      <c r="L2091" s="1">
        <v>1.7500000000000002E-2</v>
      </c>
      <c r="N2091" s="1">
        <v>6.5299999999999997E-2</v>
      </c>
      <c r="O2091" s="1">
        <v>0.1799</v>
      </c>
      <c r="P2091" s="1">
        <v>0.7147</v>
      </c>
      <c r="R2091" s="1">
        <v>1.32E-2</v>
      </c>
      <c r="U2091" s="1">
        <v>3.1E-2</v>
      </c>
      <c r="W2091" s="1">
        <v>4.4200000000000003E-2</v>
      </c>
    </row>
    <row r="2092" spans="1:23" x14ac:dyDescent="0.25">
      <c r="A2092" t="s">
        <v>203</v>
      </c>
      <c r="B2092" t="s">
        <v>229</v>
      </c>
      <c r="C2092">
        <v>55</v>
      </c>
      <c r="D2092" t="s">
        <v>202</v>
      </c>
      <c r="E2092">
        <v>2611</v>
      </c>
      <c r="F2092" s="1">
        <v>7.0000000000000001E-3</v>
      </c>
      <c r="G2092" s="1">
        <v>2.9700000000000001E-2</v>
      </c>
      <c r="H2092" s="1">
        <v>8.3000000000000001E-3</v>
      </c>
      <c r="I2092" s="1">
        <v>3.49E-2</v>
      </c>
      <c r="J2092" s="1">
        <v>2.8799999999999999E-2</v>
      </c>
      <c r="K2092" s="1">
        <v>1.5299999999999999E-2</v>
      </c>
      <c r="L2092" s="1">
        <v>5.2600000000000001E-2</v>
      </c>
      <c r="M2092" s="1">
        <v>2.1299999999999999E-2</v>
      </c>
      <c r="N2092" s="1">
        <v>1.44E-2</v>
      </c>
      <c r="O2092" s="1">
        <v>7.7399999999999997E-2</v>
      </c>
      <c r="P2092" s="1">
        <v>0.84589999999999999</v>
      </c>
      <c r="R2092" s="1">
        <v>2.8799999999999999E-2</v>
      </c>
      <c r="T2092" s="1">
        <v>2.1299999999999999E-2</v>
      </c>
      <c r="U2092" s="1">
        <v>5.5599999999999997E-2</v>
      </c>
      <c r="V2092" s="1">
        <v>1.44E-2</v>
      </c>
      <c r="W2092" s="1">
        <v>9.5200000000000007E-2</v>
      </c>
    </row>
    <row r="2093" spans="1:23" x14ac:dyDescent="0.25">
      <c r="A2093" t="s">
        <v>204</v>
      </c>
      <c r="B2093" t="s">
        <v>204</v>
      </c>
      <c r="C2093">
        <v>2611</v>
      </c>
      <c r="D2093" t="s">
        <v>204</v>
      </c>
      <c r="E2093">
        <v>2611</v>
      </c>
      <c r="F2093" s="1">
        <v>2.7400000000000001E-2</v>
      </c>
      <c r="G2093" s="1">
        <v>0.1003</v>
      </c>
      <c r="H2093" s="1">
        <v>1.5900000000000001E-2</v>
      </c>
      <c r="I2093" s="1">
        <v>0.1051</v>
      </c>
      <c r="J2093" s="1">
        <v>3.15E-2</v>
      </c>
      <c r="K2093" s="1">
        <v>5.1299999999999998E-2</v>
      </c>
      <c r="L2093" s="1">
        <v>8.2699999999999996E-2</v>
      </c>
      <c r="M2093" s="1">
        <v>4.9700000000000001E-2</v>
      </c>
      <c r="N2093" s="1">
        <v>7.9600000000000004E-2</v>
      </c>
      <c r="O2093" s="1">
        <v>0.12089999999999999</v>
      </c>
      <c r="P2093" s="1">
        <v>0.63219999999999998</v>
      </c>
      <c r="Q2093" s="1">
        <v>3.5000000000000001E-3</v>
      </c>
      <c r="R2093" s="1">
        <v>5.1200000000000002E-2</v>
      </c>
      <c r="S2093" s="1">
        <v>1.2999999999999999E-3</v>
      </c>
      <c r="T2093" s="1">
        <v>1.21E-2</v>
      </c>
      <c r="U2093" s="1">
        <v>8.5500000000000007E-2</v>
      </c>
      <c r="V2093" s="1">
        <v>2.5999999999999999E-2</v>
      </c>
      <c r="W2093" s="1">
        <v>0.1411</v>
      </c>
    </row>
    <row r="2095" spans="1:23" x14ac:dyDescent="0.25">
      <c r="A2095" t="s">
        <v>591</v>
      </c>
    </row>
    <row r="2096" spans="1:23" x14ac:dyDescent="0.25">
      <c r="A2096" t="s">
        <v>190</v>
      </c>
      <c r="B2096" t="s">
        <v>206</v>
      </c>
      <c r="C2096" t="s">
        <v>195</v>
      </c>
      <c r="D2096" t="s">
        <v>189</v>
      </c>
      <c r="E2096" t="s">
        <v>196</v>
      </c>
      <c r="F2096" t="s">
        <v>576</v>
      </c>
      <c r="G2096" t="s">
        <v>577</v>
      </c>
      <c r="H2096" t="s">
        <v>220</v>
      </c>
      <c r="I2096" t="s">
        <v>578</v>
      </c>
      <c r="J2096" t="s">
        <v>579</v>
      </c>
      <c r="K2096" t="s">
        <v>580</v>
      </c>
      <c r="L2096" t="s">
        <v>581</v>
      </c>
      <c r="M2096" t="s">
        <v>582</v>
      </c>
      <c r="N2096" t="s">
        <v>583</v>
      </c>
      <c r="O2096" t="s">
        <v>584</v>
      </c>
      <c r="P2096" t="s">
        <v>271</v>
      </c>
      <c r="Q2096" t="s">
        <v>235</v>
      </c>
      <c r="R2096" t="s">
        <v>585</v>
      </c>
      <c r="S2096" t="s">
        <v>215</v>
      </c>
      <c r="T2096" t="s">
        <v>586</v>
      </c>
      <c r="U2096" t="s">
        <v>587</v>
      </c>
      <c r="V2096" t="s">
        <v>588</v>
      </c>
      <c r="W2096" t="s">
        <v>589</v>
      </c>
    </row>
    <row r="2097" spans="1:23" x14ac:dyDescent="0.25">
      <c r="A2097" t="s">
        <v>198</v>
      </c>
      <c r="B2097" t="s">
        <v>348</v>
      </c>
      <c r="C2097">
        <v>79</v>
      </c>
      <c r="D2097" t="s">
        <v>197</v>
      </c>
      <c r="E2097">
        <v>2611</v>
      </c>
      <c r="F2097" s="1">
        <v>3.6999999999999998E-2</v>
      </c>
      <c r="G2097" s="1">
        <v>0.16850000000000001</v>
      </c>
      <c r="H2097" s="1">
        <v>1.55E-2</v>
      </c>
      <c r="I2097" s="1">
        <v>0.1087</v>
      </c>
      <c r="J2097" s="1">
        <v>3.6999999999999998E-2</v>
      </c>
      <c r="K2097" s="1">
        <v>0.12809999999999999</v>
      </c>
      <c r="L2097" s="1">
        <v>4.5999999999999999E-2</v>
      </c>
      <c r="M2097" s="1">
        <v>5.2499999999999998E-2</v>
      </c>
      <c r="N2097" s="1">
        <v>9.3600000000000003E-2</v>
      </c>
      <c r="O2097" s="1">
        <v>0.15590000000000001</v>
      </c>
      <c r="P2097" s="1">
        <v>0.51180000000000003</v>
      </c>
      <c r="R2097" s="1">
        <v>3.1E-2</v>
      </c>
      <c r="U2097" s="1">
        <v>0.14599999999999999</v>
      </c>
      <c r="W2097" s="1">
        <v>0.2286</v>
      </c>
    </row>
    <row r="2098" spans="1:23" s="29" customFormat="1" x14ac:dyDescent="0.25">
      <c r="A2098" s="29" t="s">
        <v>198</v>
      </c>
      <c r="B2098" s="29" t="s">
        <v>349</v>
      </c>
      <c r="C2098" s="29">
        <v>3</v>
      </c>
      <c r="D2098" s="29" t="s">
        <v>197</v>
      </c>
      <c r="E2098" s="29">
        <v>2611</v>
      </c>
      <c r="K2098" s="30">
        <v>0.33329999999999999</v>
      </c>
      <c r="O2098" s="30">
        <v>0.33329999999999999</v>
      </c>
      <c r="P2098" s="30">
        <v>0.33329999999999999</v>
      </c>
    </row>
    <row r="2099" spans="1:23" x14ac:dyDescent="0.25">
      <c r="A2099" t="s">
        <v>198</v>
      </c>
      <c r="B2099" t="s">
        <v>348</v>
      </c>
      <c r="C2099">
        <v>52</v>
      </c>
      <c r="D2099" t="s">
        <v>199</v>
      </c>
      <c r="E2099">
        <v>2611</v>
      </c>
      <c r="G2099" s="1">
        <v>0.2278</v>
      </c>
      <c r="I2099" s="1">
        <v>0.1573</v>
      </c>
      <c r="J2099" s="1">
        <v>0.1124</v>
      </c>
      <c r="K2099" s="1">
        <v>3.8199999999999998E-2</v>
      </c>
      <c r="L2099" s="1">
        <v>0.2233</v>
      </c>
      <c r="M2099" s="1">
        <v>0.1308</v>
      </c>
      <c r="N2099" s="1">
        <v>0.1366</v>
      </c>
      <c r="O2099" s="1">
        <v>6.3E-2</v>
      </c>
      <c r="P2099" s="1">
        <v>0.56530000000000002</v>
      </c>
      <c r="R2099" s="1">
        <v>0.1154</v>
      </c>
      <c r="T2099" s="1">
        <v>1.5900000000000001E-2</v>
      </c>
      <c r="U2099" s="1">
        <v>8.9300000000000004E-2</v>
      </c>
      <c r="V2099" s="1">
        <v>2.35E-2</v>
      </c>
      <c r="W2099" s="1">
        <v>0.1128</v>
      </c>
    </row>
    <row r="2100" spans="1:23" x14ac:dyDescent="0.25">
      <c r="A2100" t="s">
        <v>198</v>
      </c>
      <c r="B2100" t="s">
        <v>349</v>
      </c>
      <c r="C2100">
        <v>110</v>
      </c>
      <c r="D2100" t="s">
        <v>199</v>
      </c>
      <c r="E2100">
        <v>2611</v>
      </c>
      <c r="F2100" s="1">
        <v>1.0699999999999999E-2</v>
      </c>
      <c r="G2100" s="1">
        <v>0.20899999999999999</v>
      </c>
      <c r="H2100" s="1">
        <v>4.07E-2</v>
      </c>
      <c r="I2100" s="1">
        <v>0.1714</v>
      </c>
      <c r="J2100" s="1">
        <v>5.4899999999999997E-2</v>
      </c>
      <c r="K2100" s="1">
        <v>9.3200000000000005E-2</v>
      </c>
      <c r="L2100" s="1">
        <v>0.1996</v>
      </c>
      <c r="M2100" s="1">
        <v>0.12429999999999999</v>
      </c>
      <c r="N2100" s="1">
        <v>0.13300000000000001</v>
      </c>
      <c r="O2100" s="1">
        <v>0.14899999999999999</v>
      </c>
      <c r="P2100" s="1">
        <v>0.4834</v>
      </c>
      <c r="Q2100" s="1">
        <v>2E-3</v>
      </c>
      <c r="R2100" s="1">
        <v>9.5899999999999999E-2</v>
      </c>
      <c r="U2100" s="1">
        <v>7.8100000000000003E-2</v>
      </c>
      <c r="V2100" s="1">
        <v>1.34E-2</v>
      </c>
      <c r="W2100" s="1">
        <v>0.1195</v>
      </c>
    </row>
    <row r="2101" spans="1:23" x14ac:dyDescent="0.25">
      <c r="A2101" t="s">
        <v>198</v>
      </c>
      <c r="B2101" t="s">
        <v>350</v>
      </c>
      <c r="C2101">
        <v>192</v>
      </c>
      <c r="D2101" t="s">
        <v>199</v>
      </c>
      <c r="E2101">
        <v>2611</v>
      </c>
      <c r="F2101" s="1">
        <v>1.8800000000000001E-2</v>
      </c>
      <c r="G2101" s="1">
        <v>0.19769999999999999</v>
      </c>
      <c r="H2101" s="1">
        <v>2.1600000000000001E-2</v>
      </c>
      <c r="I2101" s="1">
        <v>0.10920000000000001</v>
      </c>
      <c r="J2101" s="1">
        <v>4.7300000000000002E-2</v>
      </c>
      <c r="K2101" s="1">
        <v>4.2200000000000001E-2</v>
      </c>
      <c r="L2101" s="1">
        <v>0.11700000000000001</v>
      </c>
      <c r="M2101" s="1">
        <v>4.2999999999999997E-2</v>
      </c>
      <c r="N2101" s="1">
        <v>0.1008</v>
      </c>
      <c r="O2101" s="1">
        <v>0.1106</v>
      </c>
      <c r="P2101" s="1">
        <v>0.43130000000000002</v>
      </c>
      <c r="Q2101" s="1">
        <v>8.0000000000000004E-4</v>
      </c>
      <c r="R2101" s="1">
        <v>6.4100000000000004E-2</v>
      </c>
      <c r="T2101" s="1">
        <v>2.76E-2</v>
      </c>
      <c r="U2101" s="1">
        <v>0.18709999999999999</v>
      </c>
      <c r="V2101" s="1">
        <v>1.15E-2</v>
      </c>
      <c r="W2101" s="1">
        <v>0.25030000000000002</v>
      </c>
    </row>
    <row r="2102" spans="1:23" x14ac:dyDescent="0.25">
      <c r="A2102" t="s">
        <v>198</v>
      </c>
      <c r="B2102" t="s">
        <v>350</v>
      </c>
      <c r="C2102">
        <v>78</v>
      </c>
      <c r="D2102" t="s">
        <v>200</v>
      </c>
      <c r="E2102">
        <v>2611</v>
      </c>
      <c r="F2102" s="1">
        <v>3.4000000000000002E-2</v>
      </c>
      <c r="G2102" s="1">
        <v>0.29310000000000003</v>
      </c>
      <c r="H2102" s="1">
        <v>6.7000000000000004E-2</v>
      </c>
      <c r="I2102" s="1">
        <v>0.17080000000000001</v>
      </c>
      <c r="J2102" s="1">
        <v>9.2499999999999999E-2</v>
      </c>
      <c r="K2102" s="1">
        <v>0.14779999999999999</v>
      </c>
      <c r="L2102" s="1">
        <v>6.6100000000000006E-2</v>
      </c>
      <c r="M2102" s="1">
        <v>8.9700000000000002E-2</v>
      </c>
      <c r="N2102" s="1">
        <v>0.24579999999999999</v>
      </c>
      <c r="O2102" s="1">
        <v>0.1542</v>
      </c>
      <c r="P2102" s="1">
        <v>0.35089999999999999</v>
      </c>
      <c r="Q2102" s="1">
        <v>1.1299999999999999E-2</v>
      </c>
      <c r="R2102" s="1">
        <v>0.13200000000000001</v>
      </c>
      <c r="T2102" s="1">
        <v>0.1331</v>
      </c>
      <c r="U2102" s="1">
        <v>0.2306</v>
      </c>
      <c r="V2102" s="1">
        <v>1.1299999999999999E-2</v>
      </c>
      <c r="W2102" s="1">
        <v>0.3327</v>
      </c>
    </row>
    <row r="2103" spans="1:23" x14ac:dyDescent="0.25">
      <c r="A2103" t="s">
        <v>198</v>
      </c>
      <c r="B2103" t="s">
        <v>348</v>
      </c>
      <c r="C2103">
        <v>241</v>
      </c>
      <c r="D2103" t="s">
        <v>200</v>
      </c>
      <c r="E2103">
        <v>2611</v>
      </c>
      <c r="F2103" s="1">
        <v>4.2099999999999999E-2</v>
      </c>
      <c r="G2103" s="1">
        <v>0.17960000000000001</v>
      </c>
      <c r="H2103" s="1">
        <v>1.49E-2</v>
      </c>
      <c r="I2103" s="1">
        <v>0.115</v>
      </c>
      <c r="J2103" s="1">
        <v>3.9800000000000002E-2</v>
      </c>
      <c r="K2103" s="1">
        <v>2.5000000000000001E-2</v>
      </c>
      <c r="L2103" s="1">
        <v>6.2700000000000006E-2</v>
      </c>
      <c r="M2103" s="1">
        <v>7.1800000000000003E-2</v>
      </c>
      <c r="N2103" s="1">
        <v>0.1326</v>
      </c>
      <c r="O2103" s="1">
        <v>0.16980000000000001</v>
      </c>
      <c r="P2103" s="1">
        <v>0.49180000000000001</v>
      </c>
      <c r="Q2103" s="1">
        <v>5.4000000000000003E-3</v>
      </c>
      <c r="R2103" s="1">
        <v>6.6799999999999998E-2</v>
      </c>
      <c r="S2103" s="1">
        <v>7.1000000000000004E-3</v>
      </c>
      <c r="T2103" s="1">
        <v>1.6E-2</v>
      </c>
      <c r="U2103" s="1">
        <v>0.15340000000000001</v>
      </c>
      <c r="V2103" s="1">
        <v>1.6E-2</v>
      </c>
      <c r="W2103" s="1">
        <v>0.2036</v>
      </c>
    </row>
    <row r="2104" spans="1:23" x14ac:dyDescent="0.25">
      <c r="A2104" t="s">
        <v>198</v>
      </c>
      <c r="B2104" t="s">
        <v>349</v>
      </c>
      <c r="C2104">
        <v>62</v>
      </c>
      <c r="D2104" t="s">
        <v>200</v>
      </c>
      <c r="E2104">
        <v>2611</v>
      </c>
      <c r="F2104" s="1">
        <v>0.1454</v>
      </c>
      <c r="G2104" s="1">
        <v>0.24540000000000001</v>
      </c>
      <c r="H2104" s="1">
        <v>9.0300000000000005E-2</v>
      </c>
      <c r="I2104" s="1">
        <v>0.1636</v>
      </c>
      <c r="J2104" s="1">
        <v>1.2500000000000001E-2</v>
      </c>
      <c r="K2104" s="1">
        <v>0.1925</v>
      </c>
      <c r="L2104" s="1">
        <v>4.2599999999999999E-2</v>
      </c>
      <c r="M2104" s="1">
        <v>9.6600000000000005E-2</v>
      </c>
      <c r="N2104" s="1">
        <v>8.4900000000000003E-2</v>
      </c>
      <c r="O2104" s="1">
        <v>0.28039999999999998</v>
      </c>
      <c r="P2104" s="1">
        <v>0.3947</v>
      </c>
      <c r="Q2104" s="1">
        <v>4.0599999999999997E-2</v>
      </c>
      <c r="R2104" s="1">
        <v>0.18329999999999999</v>
      </c>
      <c r="T2104" s="1">
        <v>1.2500000000000001E-2</v>
      </c>
      <c r="U2104" s="1">
        <v>8.6300000000000002E-2</v>
      </c>
      <c r="V2104" s="1">
        <v>1.2E-2</v>
      </c>
      <c r="W2104" s="1">
        <v>9.0499999999999997E-2</v>
      </c>
    </row>
    <row r="2105" spans="1:23" x14ac:dyDescent="0.25">
      <c r="A2105" t="s">
        <v>198</v>
      </c>
      <c r="B2105" t="s">
        <v>349</v>
      </c>
      <c r="C2105">
        <v>123</v>
      </c>
      <c r="D2105" t="s">
        <v>201</v>
      </c>
      <c r="E2105">
        <v>2611</v>
      </c>
      <c r="F2105" s="1">
        <v>1.43E-2</v>
      </c>
      <c r="G2105" s="1">
        <v>0.1148</v>
      </c>
      <c r="H2105" s="1">
        <v>4.1500000000000002E-2</v>
      </c>
      <c r="I2105" s="1">
        <v>0.13039999999999999</v>
      </c>
      <c r="J2105" s="1">
        <v>8.1900000000000001E-2</v>
      </c>
      <c r="K2105" s="1">
        <v>6.2799999999999995E-2</v>
      </c>
      <c r="L2105" s="1">
        <v>4.8500000000000001E-2</v>
      </c>
      <c r="M2105" s="1">
        <v>5.67E-2</v>
      </c>
      <c r="N2105" s="1">
        <v>4.3700000000000003E-2</v>
      </c>
      <c r="O2105" s="1">
        <v>2.9399999999999999E-2</v>
      </c>
      <c r="P2105" s="1">
        <v>0.42430000000000001</v>
      </c>
      <c r="Q2105" s="1">
        <v>1.38E-2</v>
      </c>
      <c r="R2105" s="1">
        <v>7.3300000000000004E-2</v>
      </c>
      <c r="T2105" s="1">
        <v>7.1000000000000004E-3</v>
      </c>
      <c r="U2105" s="1">
        <v>0.1411</v>
      </c>
      <c r="V2105" s="1">
        <v>2.9499999999999998E-2</v>
      </c>
      <c r="W2105" s="1">
        <v>0.2407</v>
      </c>
    </row>
    <row r="2106" spans="1:23" x14ac:dyDescent="0.25">
      <c r="A2106" t="s">
        <v>198</v>
      </c>
      <c r="B2106" t="s">
        <v>350</v>
      </c>
      <c r="C2106">
        <v>63</v>
      </c>
      <c r="D2106" t="s">
        <v>201</v>
      </c>
      <c r="E2106">
        <v>2611</v>
      </c>
      <c r="F2106" s="1">
        <v>2.1600000000000001E-2</v>
      </c>
      <c r="G2106" s="1">
        <v>0.34810000000000002</v>
      </c>
      <c r="H2106" s="1">
        <v>2.9399999999999999E-2</v>
      </c>
      <c r="I2106" s="1">
        <v>7.9600000000000004E-2</v>
      </c>
      <c r="J2106" s="1">
        <v>8.0399999999999999E-2</v>
      </c>
      <c r="K2106" s="1">
        <v>0.1489</v>
      </c>
      <c r="L2106" s="1">
        <v>9.5100000000000004E-2</v>
      </c>
      <c r="M2106" s="1">
        <v>0.1077</v>
      </c>
      <c r="N2106" s="1">
        <v>7.9600000000000004E-2</v>
      </c>
      <c r="O2106" s="1">
        <v>0.1293</v>
      </c>
      <c r="P2106" s="1">
        <v>0.39069999999999999</v>
      </c>
      <c r="R2106" s="1">
        <v>9.5100000000000004E-2</v>
      </c>
      <c r="S2106" s="1">
        <v>1.47E-2</v>
      </c>
      <c r="T2106" s="1">
        <v>6.5699999999999995E-2</v>
      </c>
      <c r="U2106" s="1">
        <v>0.1726</v>
      </c>
      <c r="V2106" s="1">
        <v>6.3600000000000004E-2</v>
      </c>
      <c r="W2106" s="1">
        <v>0.27260000000000001</v>
      </c>
    </row>
    <row r="2107" spans="1:23" x14ac:dyDescent="0.25">
      <c r="A2107" t="s">
        <v>198</v>
      </c>
      <c r="B2107" t="s">
        <v>348</v>
      </c>
      <c r="C2107">
        <v>62</v>
      </c>
      <c r="D2107" t="s">
        <v>201</v>
      </c>
      <c r="E2107">
        <v>2611</v>
      </c>
      <c r="F2107" s="1">
        <v>2.2499999999999999E-2</v>
      </c>
      <c r="G2107" s="1">
        <v>0.1283</v>
      </c>
      <c r="H2107" s="1">
        <v>5.3600000000000002E-2</v>
      </c>
      <c r="I2107" s="1">
        <v>0.17680000000000001</v>
      </c>
      <c r="J2107" s="1">
        <v>4.7500000000000001E-2</v>
      </c>
      <c r="K2107" s="1">
        <v>0.1086</v>
      </c>
      <c r="M2107" s="1">
        <v>7.1300000000000002E-2</v>
      </c>
      <c r="N2107" s="1">
        <v>9.0999999999999998E-2</v>
      </c>
      <c r="O2107" s="1">
        <v>7.3099999999999998E-2</v>
      </c>
      <c r="P2107" s="1">
        <v>0.5403</v>
      </c>
      <c r="R2107" s="1">
        <v>4.7199999999999999E-2</v>
      </c>
      <c r="U2107" s="1">
        <v>0.1069</v>
      </c>
      <c r="W2107" s="1">
        <v>0.1057</v>
      </c>
    </row>
    <row r="2108" spans="1:23" x14ac:dyDescent="0.25">
      <c r="A2108" t="s">
        <v>198</v>
      </c>
      <c r="B2108" t="s">
        <v>348</v>
      </c>
      <c r="C2108">
        <v>95</v>
      </c>
      <c r="D2108" t="s">
        <v>202</v>
      </c>
      <c r="E2108">
        <v>2611</v>
      </c>
      <c r="F2108" s="1">
        <v>8.48E-2</v>
      </c>
      <c r="G2108" s="1">
        <v>0.21920000000000001</v>
      </c>
      <c r="H2108" s="1">
        <v>9.4999999999999998E-3</v>
      </c>
      <c r="I2108" s="1">
        <v>0.2505</v>
      </c>
      <c r="J2108" s="1">
        <v>6.0699999999999997E-2</v>
      </c>
      <c r="K2108" s="1">
        <v>7.7799999999999994E-2</v>
      </c>
      <c r="L2108" s="1">
        <v>0.13059999999999999</v>
      </c>
      <c r="M2108" s="1">
        <v>9.69E-2</v>
      </c>
      <c r="N2108" s="1">
        <v>0.23069999999999999</v>
      </c>
      <c r="O2108" s="1">
        <v>0.2263</v>
      </c>
      <c r="P2108" s="1">
        <v>0.39850000000000002</v>
      </c>
      <c r="R2108" s="1">
        <v>0.14779999999999999</v>
      </c>
      <c r="T2108" s="1">
        <v>4.4299999999999999E-2</v>
      </c>
      <c r="U2108" s="1">
        <v>0.14849999999999999</v>
      </c>
      <c r="V2108" s="1">
        <v>1.5299999999999999E-2</v>
      </c>
      <c r="W2108" s="1">
        <v>0.21790000000000001</v>
      </c>
    </row>
    <row r="2109" spans="1:23" x14ac:dyDescent="0.25">
      <c r="A2109" t="s">
        <v>203</v>
      </c>
      <c r="B2109" t="s">
        <v>349</v>
      </c>
      <c r="C2109">
        <v>170</v>
      </c>
      <c r="D2109" t="s">
        <v>199</v>
      </c>
      <c r="E2109">
        <v>2611</v>
      </c>
      <c r="F2109" s="1">
        <v>6.9999999999999999E-4</v>
      </c>
      <c r="G2109" s="1">
        <v>1.41E-2</v>
      </c>
      <c r="H2109" s="1">
        <v>4.8999999999999998E-3</v>
      </c>
      <c r="I2109" s="1">
        <v>3.9E-2</v>
      </c>
      <c r="J2109" s="1">
        <v>7.6E-3</v>
      </c>
      <c r="K2109" s="1">
        <v>3.7999999999999999E-2</v>
      </c>
      <c r="L2109" s="1">
        <v>3.8100000000000002E-2</v>
      </c>
      <c r="M2109" s="1">
        <v>1.6999999999999999E-3</v>
      </c>
      <c r="N2109" s="1">
        <v>1.0200000000000001E-2</v>
      </c>
      <c r="O2109" s="1">
        <v>5.96E-2</v>
      </c>
      <c r="P2109" s="1">
        <v>0.84289999999999998</v>
      </c>
      <c r="Q2109" s="1">
        <v>8.0999999999999996E-3</v>
      </c>
      <c r="R2109" s="1">
        <v>8.8999999999999999E-3</v>
      </c>
      <c r="S2109" s="1">
        <v>2.8E-3</v>
      </c>
      <c r="T2109" s="1">
        <v>4.7000000000000002E-3</v>
      </c>
      <c r="U2109" s="1">
        <v>1.14E-2</v>
      </c>
      <c r="W2109" s="1">
        <v>2.47E-2</v>
      </c>
    </row>
    <row r="2110" spans="1:23" x14ac:dyDescent="0.25">
      <c r="A2110" t="s">
        <v>203</v>
      </c>
      <c r="B2110" t="s">
        <v>348</v>
      </c>
      <c r="C2110">
        <v>42</v>
      </c>
      <c r="D2110" t="s">
        <v>199</v>
      </c>
      <c r="E2110">
        <v>2611</v>
      </c>
      <c r="G2110" s="1">
        <v>2.5000000000000001E-2</v>
      </c>
      <c r="I2110" s="1">
        <v>0.1003</v>
      </c>
      <c r="J2110" s="1">
        <v>3.1800000000000002E-2</v>
      </c>
      <c r="K2110" s="1">
        <v>1.01E-2</v>
      </c>
      <c r="L2110" s="1">
        <v>1.4999999999999999E-2</v>
      </c>
      <c r="M2110" s="1">
        <v>3.1800000000000002E-2</v>
      </c>
      <c r="N2110" s="1">
        <v>1.9900000000000001E-2</v>
      </c>
      <c r="O2110" s="1">
        <v>9.3600000000000003E-2</v>
      </c>
      <c r="P2110" s="1">
        <v>0.71250000000000002</v>
      </c>
      <c r="U2110" s="1">
        <v>0.1103</v>
      </c>
      <c r="W2110" s="1">
        <v>0.14199999999999999</v>
      </c>
    </row>
    <row r="2111" spans="1:23" x14ac:dyDescent="0.25">
      <c r="A2111" t="s">
        <v>203</v>
      </c>
      <c r="B2111" t="s">
        <v>350</v>
      </c>
      <c r="C2111">
        <v>302</v>
      </c>
      <c r="D2111" t="s">
        <v>199</v>
      </c>
      <c r="E2111">
        <v>2611</v>
      </c>
      <c r="F2111" s="1">
        <v>7.6E-3</v>
      </c>
      <c r="G2111" s="1">
        <v>3.5799999999999998E-2</v>
      </c>
      <c r="H2111" s="1">
        <v>3.1399999999999997E-2</v>
      </c>
      <c r="I2111" s="1">
        <v>9.0499999999999997E-2</v>
      </c>
      <c r="J2111" s="1">
        <v>4.1700000000000001E-2</v>
      </c>
      <c r="K2111" s="1">
        <v>5.0299999999999997E-2</v>
      </c>
      <c r="L2111" s="1">
        <v>5.62E-2</v>
      </c>
      <c r="M2111" s="1">
        <v>2.6599999999999999E-2</v>
      </c>
      <c r="N2111" s="1">
        <v>2.1299999999999999E-2</v>
      </c>
      <c r="O2111" s="1">
        <v>0.10970000000000001</v>
      </c>
      <c r="P2111" s="1">
        <v>0.68899999999999995</v>
      </c>
      <c r="Q2111" s="1">
        <v>2.0999999999999999E-3</v>
      </c>
      <c r="R2111" s="1">
        <v>3.1300000000000001E-2</v>
      </c>
      <c r="S2111" s="1">
        <v>2.0000000000000001E-4</v>
      </c>
      <c r="T2111" s="1">
        <v>7.4999999999999997E-3</v>
      </c>
      <c r="U2111" s="1">
        <v>2.6800000000000001E-2</v>
      </c>
      <c r="V2111" s="1">
        <v>2.9899999999999999E-2</v>
      </c>
      <c r="W2111" s="1">
        <v>9.5299999999999996E-2</v>
      </c>
    </row>
    <row r="2112" spans="1:23" x14ac:dyDescent="0.25">
      <c r="A2112" t="s">
        <v>203</v>
      </c>
      <c r="B2112" t="s">
        <v>348</v>
      </c>
      <c r="C2112">
        <v>297</v>
      </c>
      <c r="D2112" t="s">
        <v>200</v>
      </c>
      <c r="E2112">
        <v>2611</v>
      </c>
      <c r="F2112" s="1">
        <v>2.3400000000000001E-2</v>
      </c>
      <c r="G2112" s="1">
        <v>2.2200000000000001E-2</v>
      </c>
      <c r="H2112" s="1">
        <v>2.5999999999999999E-3</v>
      </c>
      <c r="I2112" s="1">
        <v>6.7299999999999999E-2</v>
      </c>
      <c r="K2112" s="1">
        <v>1.5800000000000002E-2</v>
      </c>
      <c r="L2112" s="1">
        <v>9.4200000000000006E-2</v>
      </c>
      <c r="M2112" s="1">
        <v>2.7099999999999999E-2</v>
      </c>
      <c r="N2112" s="1">
        <v>4.0099999999999997E-2</v>
      </c>
      <c r="O2112" s="1">
        <v>0.1032</v>
      </c>
      <c r="P2112" s="1">
        <v>0.79179999999999995</v>
      </c>
      <c r="Q2112" s="1">
        <v>2.2000000000000001E-3</v>
      </c>
      <c r="R2112" s="1">
        <v>1.66E-2</v>
      </c>
      <c r="U2112" s="1">
        <v>4.0099999999999997E-2</v>
      </c>
      <c r="V2112" s="1">
        <v>5.0999999999999997E-2</v>
      </c>
      <c r="W2112" s="1">
        <v>9.8199999999999996E-2</v>
      </c>
    </row>
    <row r="2113" spans="1:23" x14ac:dyDescent="0.25">
      <c r="A2113" t="s">
        <v>203</v>
      </c>
      <c r="B2113" t="s">
        <v>349</v>
      </c>
      <c r="C2113">
        <v>106</v>
      </c>
      <c r="D2113" t="s">
        <v>200</v>
      </c>
      <c r="E2113">
        <v>2611</v>
      </c>
      <c r="F2113" s="1">
        <v>3.73E-2</v>
      </c>
      <c r="G2113" s="1">
        <v>9.4000000000000004E-3</v>
      </c>
      <c r="H2113" s="1">
        <v>1.66E-2</v>
      </c>
      <c r="I2113" s="1">
        <v>3.1800000000000002E-2</v>
      </c>
      <c r="J2113" s="1">
        <v>1.4E-3</v>
      </c>
      <c r="K2113" s="1">
        <v>2.53E-2</v>
      </c>
      <c r="L2113" s="1">
        <v>6.4199999999999993E-2</v>
      </c>
      <c r="M2113" s="1">
        <v>1.4E-3</v>
      </c>
      <c r="O2113" s="1">
        <v>5.0299999999999997E-2</v>
      </c>
      <c r="P2113" s="1">
        <v>0.73119999999999996</v>
      </c>
      <c r="Q2113" s="1">
        <v>2.2800000000000001E-2</v>
      </c>
      <c r="R2113" s="1">
        <v>1.6199999999999999E-2</v>
      </c>
      <c r="S2113" s="1">
        <v>1.54E-2</v>
      </c>
      <c r="T2113" s="1">
        <v>8.0000000000000004E-4</v>
      </c>
      <c r="U2113" s="1">
        <v>1.6299999999999999E-2</v>
      </c>
      <c r="V2113" s="1">
        <v>7.9000000000000008E-3</v>
      </c>
      <c r="W2113" s="1">
        <v>7.1199999999999999E-2</v>
      </c>
    </row>
    <row r="2114" spans="1:23" x14ac:dyDescent="0.25">
      <c r="A2114" t="s">
        <v>203</v>
      </c>
      <c r="B2114" t="s">
        <v>350</v>
      </c>
      <c r="C2114">
        <v>93</v>
      </c>
      <c r="D2114" t="s">
        <v>200</v>
      </c>
      <c r="E2114">
        <v>2611</v>
      </c>
      <c r="F2114" s="1">
        <v>1.5699999999999999E-2</v>
      </c>
      <c r="G2114" s="1">
        <v>4.1000000000000003E-3</v>
      </c>
      <c r="H2114" s="1">
        <v>1.5699999999999999E-2</v>
      </c>
      <c r="I2114" s="1">
        <v>2.3300000000000001E-2</v>
      </c>
      <c r="J2114" s="1">
        <v>5.7000000000000002E-3</v>
      </c>
      <c r="K2114" s="1">
        <v>5.8000000000000003E-2</v>
      </c>
      <c r="L2114" s="1">
        <v>1.4E-2</v>
      </c>
      <c r="M2114" s="1">
        <v>1.7999999999999999E-2</v>
      </c>
      <c r="N2114" s="1">
        <v>1.4E-2</v>
      </c>
      <c r="O2114" s="1">
        <v>9.4799999999999995E-2</v>
      </c>
      <c r="P2114" s="1">
        <v>0.75829999999999997</v>
      </c>
      <c r="R2114" s="1">
        <v>1.7600000000000001E-2</v>
      </c>
      <c r="T2114" s="1">
        <v>2.2000000000000001E-3</v>
      </c>
      <c r="U2114" s="1">
        <v>5.0799999999999998E-2</v>
      </c>
      <c r="V2114" s="1">
        <v>1.7600000000000001E-2</v>
      </c>
      <c r="W2114" s="1">
        <v>8.3799999999999999E-2</v>
      </c>
    </row>
    <row r="2115" spans="1:23" x14ac:dyDescent="0.25">
      <c r="A2115" t="s">
        <v>203</v>
      </c>
      <c r="B2115" t="s">
        <v>348</v>
      </c>
      <c r="C2115">
        <v>62</v>
      </c>
      <c r="D2115" t="s">
        <v>201</v>
      </c>
      <c r="E2115">
        <v>2611</v>
      </c>
      <c r="G2115" s="1">
        <v>0.107</v>
      </c>
      <c r="H2115" s="1">
        <v>6.4999999999999997E-3</v>
      </c>
      <c r="I2115" s="1">
        <v>0.2034</v>
      </c>
      <c r="J2115" s="1">
        <v>5.1900000000000002E-2</v>
      </c>
      <c r="K2115" s="1">
        <v>0.35049999999999998</v>
      </c>
      <c r="L2115" s="1">
        <v>3.4099999999999998E-2</v>
      </c>
      <c r="M2115" s="1">
        <v>1.7000000000000001E-2</v>
      </c>
      <c r="N2115" s="1">
        <v>3.8699999999999998E-2</v>
      </c>
      <c r="O2115" s="1">
        <v>1.26E-2</v>
      </c>
      <c r="P2115" s="1">
        <v>0.48010000000000003</v>
      </c>
      <c r="Q2115" s="1">
        <v>1.78E-2</v>
      </c>
      <c r="R2115" s="1">
        <v>5.1900000000000002E-2</v>
      </c>
      <c r="U2115" s="1">
        <v>7.7100000000000002E-2</v>
      </c>
      <c r="V2115" s="1">
        <v>1.26E-2</v>
      </c>
      <c r="W2115" s="1">
        <v>0.22600000000000001</v>
      </c>
    </row>
    <row r="2116" spans="1:23" x14ac:dyDescent="0.25">
      <c r="A2116" t="s">
        <v>203</v>
      </c>
      <c r="B2116" t="s">
        <v>349</v>
      </c>
      <c r="C2116">
        <v>147</v>
      </c>
      <c r="D2116" t="s">
        <v>201</v>
      </c>
      <c r="E2116">
        <v>2611</v>
      </c>
      <c r="F2116" s="1">
        <v>2.3E-3</v>
      </c>
      <c r="G2116" s="1">
        <v>2.1700000000000001E-2</v>
      </c>
      <c r="H2116" s="1">
        <v>1.9300000000000001E-2</v>
      </c>
      <c r="I2116" s="1">
        <v>5.6300000000000003E-2</v>
      </c>
      <c r="J2116" s="1">
        <v>3.0200000000000001E-2</v>
      </c>
      <c r="K2116" s="1">
        <v>4.0099999999999997E-2</v>
      </c>
      <c r="L2116" s="1">
        <v>0.01</v>
      </c>
      <c r="M2116" s="1">
        <v>4.6100000000000002E-2</v>
      </c>
      <c r="N2116" s="1">
        <v>3.3000000000000002E-2</v>
      </c>
      <c r="O2116" s="1">
        <v>2.8199999999999999E-2</v>
      </c>
      <c r="P2116" s="1">
        <v>0.84519999999999995</v>
      </c>
      <c r="Q2116" s="1">
        <v>2.0000000000000001E-4</v>
      </c>
      <c r="R2116" s="1">
        <v>2.4199999999999999E-2</v>
      </c>
      <c r="T2116" s="1">
        <v>1.4E-2</v>
      </c>
      <c r="U2116" s="1">
        <v>4.87E-2</v>
      </c>
      <c r="V2116" s="1">
        <v>4.9299999999999997E-2</v>
      </c>
      <c r="W2116" s="1">
        <v>8.5099999999999995E-2</v>
      </c>
    </row>
    <row r="2117" spans="1:23" x14ac:dyDescent="0.25">
      <c r="A2117" t="s">
        <v>203</v>
      </c>
      <c r="B2117" t="s">
        <v>350</v>
      </c>
      <c r="C2117">
        <v>104</v>
      </c>
      <c r="D2117" t="s">
        <v>201</v>
      </c>
      <c r="E2117">
        <v>2611</v>
      </c>
      <c r="G2117" s="1">
        <v>3.0099999999999998E-2</v>
      </c>
      <c r="H2117" s="1">
        <v>3.5299999999999998E-2</v>
      </c>
      <c r="I2117" s="1">
        <v>0.1115</v>
      </c>
      <c r="J2117" s="1">
        <v>5.16E-2</v>
      </c>
      <c r="K2117" s="1">
        <v>0.14180000000000001</v>
      </c>
      <c r="L2117" s="1">
        <v>5.7099999999999998E-2</v>
      </c>
      <c r="M2117" s="1">
        <v>2.18E-2</v>
      </c>
      <c r="N2117" s="1">
        <v>4.36E-2</v>
      </c>
      <c r="O2117" s="1">
        <v>0.15509999999999999</v>
      </c>
      <c r="P2117" s="1">
        <v>0.59719999999999995</v>
      </c>
      <c r="Q2117" s="1">
        <v>2.18E-2</v>
      </c>
      <c r="R2117" s="1">
        <v>5.4399999999999997E-2</v>
      </c>
      <c r="T2117" s="1">
        <v>1.6299999999999999E-2</v>
      </c>
      <c r="U2117" s="1">
        <v>7.6200000000000004E-2</v>
      </c>
      <c r="V2117" s="1">
        <v>2.8E-3</v>
      </c>
      <c r="W2117" s="1">
        <v>0.1305</v>
      </c>
    </row>
    <row r="2118" spans="1:23" x14ac:dyDescent="0.25">
      <c r="A2118" t="s">
        <v>203</v>
      </c>
      <c r="B2118" t="s">
        <v>348</v>
      </c>
      <c r="C2118">
        <v>89</v>
      </c>
      <c r="D2118" t="s">
        <v>202</v>
      </c>
      <c r="E2118">
        <v>2611</v>
      </c>
      <c r="F2118" s="1">
        <v>8.6999999999999994E-3</v>
      </c>
      <c r="G2118" s="1">
        <v>2.12E-2</v>
      </c>
      <c r="H2118" s="1">
        <v>1.1900000000000001E-2</v>
      </c>
      <c r="I2118" s="1">
        <v>2.5000000000000001E-2</v>
      </c>
      <c r="J2118" s="1">
        <v>2.06E-2</v>
      </c>
      <c r="K2118" s="1">
        <v>3.9699999999999999E-2</v>
      </c>
      <c r="L2118" s="1">
        <v>4.2599999999999999E-2</v>
      </c>
      <c r="M2118" s="1">
        <v>1.5299999999999999E-2</v>
      </c>
      <c r="N2118" s="1">
        <v>2.8899999999999999E-2</v>
      </c>
      <c r="O2118" s="1">
        <v>0.1065</v>
      </c>
      <c r="P2118" s="1">
        <v>0.80859999999999999</v>
      </c>
      <c r="R2118" s="1">
        <v>2.4400000000000002E-2</v>
      </c>
      <c r="T2118" s="1">
        <v>1.5299999999999999E-2</v>
      </c>
      <c r="U2118" s="1">
        <v>4.8599999999999997E-2</v>
      </c>
      <c r="V2118" s="1">
        <v>1.03E-2</v>
      </c>
      <c r="W2118" s="1">
        <v>8.0699999999999994E-2</v>
      </c>
    </row>
    <row r="2119" spans="1:23" x14ac:dyDescent="0.25">
      <c r="A2119" t="s">
        <v>204</v>
      </c>
      <c r="B2119" t="s">
        <v>204</v>
      </c>
      <c r="C2119">
        <v>2611</v>
      </c>
      <c r="D2119" t="s">
        <v>204</v>
      </c>
      <c r="E2119">
        <v>2611</v>
      </c>
      <c r="F2119" s="1">
        <v>2.7400000000000001E-2</v>
      </c>
      <c r="G2119" s="1">
        <v>0.1003</v>
      </c>
      <c r="H2119" s="1">
        <v>1.5900000000000001E-2</v>
      </c>
      <c r="I2119" s="1">
        <v>0.1051</v>
      </c>
      <c r="J2119" s="1">
        <v>3.15E-2</v>
      </c>
      <c r="K2119" s="1">
        <v>5.1299999999999998E-2</v>
      </c>
      <c r="L2119" s="1">
        <v>8.2699999999999996E-2</v>
      </c>
      <c r="M2119" s="1">
        <v>4.9700000000000001E-2</v>
      </c>
      <c r="N2119" s="1">
        <v>7.9600000000000004E-2</v>
      </c>
      <c r="O2119" s="1">
        <v>0.12089999999999999</v>
      </c>
      <c r="P2119" s="1">
        <v>0.63219999999999998</v>
      </c>
      <c r="Q2119" s="1">
        <v>3.5000000000000001E-3</v>
      </c>
      <c r="R2119" s="1">
        <v>5.1200000000000002E-2</v>
      </c>
      <c r="S2119" s="1">
        <v>1.2999999999999999E-3</v>
      </c>
      <c r="T2119" s="1">
        <v>1.21E-2</v>
      </c>
      <c r="U2119" s="1">
        <v>8.5500000000000007E-2</v>
      </c>
      <c r="V2119" s="1">
        <v>2.5999999999999999E-2</v>
      </c>
      <c r="W2119" s="1">
        <v>0.1411</v>
      </c>
    </row>
    <row r="2121" spans="1:23" x14ac:dyDescent="0.25">
      <c r="A2121" t="s">
        <v>592</v>
      </c>
    </row>
    <row r="2122" spans="1:23" x14ac:dyDescent="0.25">
      <c r="A2122" t="s">
        <v>190</v>
      </c>
      <c r="B2122" t="s">
        <v>195</v>
      </c>
      <c r="C2122" t="s">
        <v>189</v>
      </c>
      <c r="D2122" t="s">
        <v>196</v>
      </c>
      <c r="E2122" t="s">
        <v>593</v>
      </c>
      <c r="F2122" t="s">
        <v>220</v>
      </c>
      <c r="G2122" t="s">
        <v>594</v>
      </c>
      <c r="H2122" t="s">
        <v>595</v>
      </c>
      <c r="I2122" t="s">
        <v>596</v>
      </c>
      <c r="J2122" t="s">
        <v>597</v>
      </c>
      <c r="K2122" t="s">
        <v>598</v>
      </c>
      <c r="L2122" t="s">
        <v>599</v>
      </c>
      <c r="M2122" t="s">
        <v>600</v>
      </c>
      <c r="N2122" t="s">
        <v>601</v>
      </c>
      <c r="O2122" t="s">
        <v>271</v>
      </c>
      <c r="P2122" t="s">
        <v>235</v>
      </c>
      <c r="Q2122" t="s">
        <v>602</v>
      </c>
      <c r="R2122" t="s">
        <v>603</v>
      </c>
      <c r="S2122" t="s">
        <v>215</v>
      </c>
      <c r="T2122" t="s">
        <v>604</v>
      </c>
    </row>
    <row r="2123" spans="1:23" x14ac:dyDescent="0.25">
      <c r="A2123" t="s">
        <v>198</v>
      </c>
      <c r="B2123">
        <v>82</v>
      </c>
      <c r="C2123" t="s">
        <v>197</v>
      </c>
      <c r="D2123">
        <v>2632</v>
      </c>
      <c r="E2123" s="1">
        <v>0.1099</v>
      </c>
      <c r="G2123" s="1">
        <v>3.2300000000000002E-2</v>
      </c>
      <c r="H2123" s="1">
        <v>0.49769999999999998</v>
      </c>
      <c r="L2123" s="1">
        <v>6.7699999999999996E-2</v>
      </c>
      <c r="M2123" s="1">
        <v>1.38E-2</v>
      </c>
      <c r="N2123" s="1">
        <v>4.5999999999999999E-2</v>
      </c>
      <c r="P2123" s="1">
        <v>7.4999999999999997E-3</v>
      </c>
      <c r="Q2123" s="1">
        <v>0.25340000000000001</v>
      </c>
      <c r="R2123" s="1">
        <v>0.45479999999999998</v>
      </c>
      <c r="T2123" s="1">
        <v>0.4536</v>
      </c>
    </row>
    <row r="2124" spans="1:23" x14ac:dyDescent="0.25">
      <c r="A2124" t="s">
        <v>198</v>
      </c>
      <c r="B2124">
        <v>367</v>
      </c>
      <c r="C2124" t="s">
        <v>199</v>
      </c>
      <c r="D2124">
        <v>2632</v>
      </c>
      <c r="E2124" s="1">
        <v>0.2581</v>
      </c>
      <c r="G2124" s="1">
        <v>6.3700000000000007E-2</v>
      </c>
      <c r="H2124" s="1">
        <v>0.53149999999999997</v>
      </c>
      <c r="I2124" s="1">
        <v>1.9099999999999999E-2</v>
      </c>
      <c r="J2124" s="1">
        <v>3.0200000000000001E-2</v>
      </c>
      <c r="K2124" s="1">
        <v>1.66E-2</v>
      </c>
      <c r="L2124" s="1">
        <v>9.1300000000000006E-2</v>
      </c>
      <c r="M2124" s="1">
        <v>1.2999999999999999E-3</v>
      </c>
      <c r="N2124" s="1">
        <v>3.7900000000000003E-2</v>
      </c>
      <c r="O2124" s="1">
        <v>1.1599999999999999E-2</v>
      </c>
      <c r="P2124" s="1">
        <v>2.9999999999999997E-4</v>
      </c>
      <c r="Q2124" s="1">
        <v>0.28120000000000001</v>
      </c>
      <c r="R2124" s="1">
        <v>0.34520000000000001</v>
      </c>
      <c r="T2124" s="1">
        <v>0.48039999999999999</v>
      </c>
    </row>
    <row r="2125" spans="1:23" x14ac:dyDescent="0.25">
      <c r="A2125" t="s">
        <v>198</v>
      </c>
      <c r="B2125">
        <v>387</v>
      </c>
      <c r="C2125" t="s">
        <v>200</v>
      </c>
      <c r="D2125">
        <v>2632</v>
      </c>
      <c r="E2125" s="1">
        <v>0.11650000000000001</v>
      </c>
      <c r="F2125" s="1">
        <v>5.9999999999999995E-4</v>
      </c>
      <c r="G2125" s="1">
        <v>6.4999999999999997E-3</v>
      </c>
      <c r="H2125" s="1">
        <v>0.43809999999999999</v>
      </c>
      <c r="I2125" s="1">
        <v>5.6599999999999998E-2</v>
      </c>
      <c r="J2125" s="1">
        <v>1.04E-2</v>
      </c>
      <c r="K2125" s="1">
        <v>2.0000000000000001E-4</v>
      </c>
      <c r="L2125" s="1">
        <v>9.9599999999999994E-2</v>
      </c>
      <c r="M2125" s="1">
        <v>5.8999999999999999E-3</v>
      </c>
      <c r="N2125" s="1">
        <v>2.9700000000000001E-2</v>
      </c>
      <c r="O2125" s="1">
        <v>6.3E-3</v>
      </c>
      <c r="P2125" s="1">
        <v>1.54E-2</v>
      </c>
      <c r="Q2125" s="1">
        <v>0.21049999999999999</v>
      </c>
      <c r="R2125" s="1">
        <v>0.3135</v>
      </c>
      <c r="S2125" s="1">
        <v>5.4000000000000003E-3</v>
      </c>
      <c r="T2125" s="1">
        <v>0.68799999999999994</v>
      </c>
    </row>
    <row r="2126" spans="1:23" x14ac:dyDescent="0.25">
      <c r="A2126" t="s">
        <v>198</v>
      </c>
      <c r="B2126">
        <v>256</v>
      </c>
      <c r="C2126" t="s">
        <v>201</v>
      </c>
      <c r="D2126">
        <v>2632</v>
      </c>
      <c r="E2126" s="1">
        <v>0.1673</v>
      </c>
      <c r="F2126" s="1">
        <v>2.9999999999999997E-4</v>
      </c>
      <c r="G2126" s="1">
        <v>3.6600000000000001E-2</v>
      </c>
      <c r="H2126" s="1">
        <v>0.46479999999999999</v>
      </c>
      <c r="I2126" s="1">
        <v>0.03</v>
      </c>
      <c r="J2126" s="1">
        <v>9.5999999999999992E-3</v>
      </c>
      <c r="L2126" s="1">
        <v>9.8100000000000007E-2</v>
      </c>
      <c r="M2126" s="1">
        <v>0.01</v>
      </c>
      <c r="N2126" s="1">
        <v>4.5100000000000001E-2</v>
      </c>
      <c r="O2126" s="1">
        <v>3.5000000000000001E-3</v>
      </c>
      <c r="P2126" s="1">
        <v>1E-3</v>
      </c>
      <c r="Q2126" s="1">
        <v>0.27360000000000001</v>
      </c>
      <c r="R2126" s="1">
        <v>0.29409999999999997</v>
      </c>
      <c r="T2126" s="1">
        <v>0.59319999999999995</v>
      </c>
    </row>
    <row r="2127" spans="1:23" x14ac:dyDescent="0.25">
      <c r="A2127" t="s">
        <v>198</v>
      </c>
      <c r="B2127">
        <v>96</v>
      </c>
      <c r="C2127" t="s">
        <v>202</v>
      </c>
      <c r="D2127">
        <v>2632</v>
      </c>
      <c r="E2127" s="1">
        <v>0.13830000000000001</v>
      </c>
      <c r="G2127" s="1">
        <v>9.64E-2</v>
      </c>
      <c r="H2127" s="1">
        <v>0.55559999999999998</v>
      </c>
      <c r="I2127" s="1">
        <v>2.5000000000000001E-3</v>
      </c>
      <c r="J2127" s="1">
        <v>2.5000000000000001E-3</v>
      </c>
      <c r="L2127" s="1">
        <v>0.16209999999999999</v>
      </c>
      <c r="M2127" s="1">
        <v>9.4999999999999998E-3</v>
      </c>
      <c r="N2127" s="1">
        <v>6.0699999999999997E-2</v>
      </c>
      <c r="P2127" s="1">
        <v>1.6199999999999999E-2</v>
      </c>
      <c r="Q2127" s="1">
        <v>0.2661</v>
      </c>
      <c r="R2127" s="1">
        <v>0.27250000000000002</v>
      </c>
      <c r="T2127" s="1">
        <v>0.5232</v>
      </c>
    </row>
    <row r="2128" spans="1:23" x14ac:dyDescent="0.25">
      <c r="A2128" t="s">
        <v>203</v>
      </c>
      <c r="B2128">
        <v>530</v>
      </c>
      <c r="C2128" t="s">
        <v>199</v>
      </c>
      <c r="D2128">
        <v>2632</v>
      </c>
      <c r="E2128" s="1">
        <v>0.18079999999999999</v>
      </c>
      <c r="G2128" s="1">
        <v>2.24E-2</v>
      </c>
      <c r="H2128" s="1">
        <v>7.7799999999999994E-2</v>
      </c>
      <c r="I2128" s="1">
        <v>7.6799999999999993E-2</v>
      </c>
      <c r="J2128" s="1">
        <v>2.29E-2</v>
      </c>
      <c r="K2128" s="1">
        <v>6.6699999999999995E-2</v>
      </c>
      <c r="L2128" s="1">
        <v>5.7599999999999998E-2</v>
      </c>
      <c r="M2128" s="1">
        <v>2E-3</v>
      </c>
      <c r="N2128" s="1">
        <v>4.2700000000000002E-2</v>
      </c>
      <c r="O2128" s="1">
        <v>3.0999999999999999E-3</v>
      </c>
      <c r="P2128" s="1">
        <v>2.2000000000000001E-3</v>
      </c>
      <c r="Q2128" s="1">
        <v>0.21690000000000001</v>
      </c>
      <c r="R2128" s="1">
        <v>0.29039999999999999</v>
      </c>
      <c r="S2128" s="1">
        <v>8.9999999999999993E-3</v>
      </c>
      <c r="T2128" s="1">
        <v>0.68430000000000002</v>
      </c>
    </row>
    <row r="2129" spans="1:21" x14ac:dyDescent="0.25">
      <c r="A2129" t="s">
        <v>203</v>
      </c>
      <c r="B2129">
        <v>503</v>
      </c>
      <c r="C2129" t="s">
        <v>200</v>
      </c>
      <c r="D2129">
        <v>2632</v>
      </c>
      <c r="E2129" s="1">
        <v>0.1041</v>
      </c>
      <c r="F2129" s="1">
        <v>4.0000000000000002E-4</v>
      </c>
      <c r="G2129" s="1">
        <v>2.2000000000000001E-3</v>
      </c>
      <c r="H2129" s="1">
        <v>7.9000000000000008E-3</v>
      </c>
      <c r="I2129" s="1">
        <v>0.13139999999999999</v>
      </c>
      <c r="J2129" s="1">
        <v>1.7000000000000001E-2</v>
      </c>
      <c r="K2129" s="1">
        <v>3.0200000000000001E-2</v>
      </c>
      <c r="L2129" s="1">
        <v>9.3600000000000003E-2</v>
      </c>
      <c r="N2129" s="1">
        <v>5.3800000000000001E-2</v>
      </c>
      <c r="P2129" s="1">
        <v>3.5000000000000001E-3</v>
      </c>
      <c r="Q2129" s="1">
        <v>0.1724</v>
      </c>
      <c r="R2129" s="1">
        <v>0.2447</v>
      </c>
      <c r="S2129" s="1">
        <v>1E-4</v>
      </c>
      <c r="T2129" s="1">
        <v>0.79269999999999996</v>
      </c>
    </row>
    <row r="2130" spans="1:21" x14ac:dyDescent="0.25">
      <c r="A2130" t="s">
        <v>203</v>
      </c>
      <c r="B2130">
        <v>321</v>
      </c>
      <c r="C2130" t="s">
        <v>201</v>
      </c>
      <c r="D2130">
        <v>2632</v>
      </c>
      <c r="E2130" s="1">
        <v>0.19689999999999999</v>
      </c>
      <c r="G2130" s="1">
        <v>3.2099999999999997E-2</v>
      </c>
      <c r="H2130" s="1">
        <v>5.4399999999999997E-2</v>
      </c>
      <c r="I2130" s="1">
        <v>0.15090000000000001</v>
      </c>
      <c r="J2130" s="1">
        <v>5.3900000000000003E-2</v>
      </c>
      <c r="K2130" s="1">
        <v>7.5999999999999998E-2</v>
      </c>
      <c r="L2130" s="1">
        <v>9.5000000000000001E-2</v>
      </c>
      <c r="M2130" s="1">
        <v>5.1000000000000004E-3</v>
      </c>
      <c r="N2130" s="1">
        <v>3.7100000000000001E-2</v>
      </c>
      <c r="P2130" s="1">
        <v>2.24E-2</v>
      </c>
      <c r="Q2130" s="1">
        <v>0.1487</v>
      </c>
      <c r="R2130" s="1">
        <v>0.2122</v>
      </c>
      <c r="S2130" s="1">
        <v>6.3E-3</v>
      </c>
      <c r="T2130" s="1">
        <v>0.69430000000000003</v>
      </c>
    </row>
    <row r="2131" spans="1:21" x14ac:dyDescent="0.25">
      <c r="A2131" t="s">
        <v>203</v>
      </c>
      <c r="B2131">
        <v>90</v>
      </c>
      <c r="C2131" t="s">
        <v>202</v>
      </c>
      <c r="D2131">
        <v>2632</v>
      </c>
      <c r="E2131" s="1">
        <v>0.17249999999999999</v>
      </c>
      <c r="G2131" s="1">
        <v>4.8999999999999998E-3</v>
      </c>
      <c r="I2131" s="1">
        <v>5.28E-2</v>
      </c>
      <c r="J2131" s="1">
        <v>8.8000000000000005E-3</v>
      </c>
      <c r="K2131" s="1">
        <v>8.5999999999999993E-2</v>
      </c>
      <c r="L2131" s="1">
        <v>0.16839999999999999</v>
      </c>
      <c r="M2131" s="1">
        <v>1.37E-2</v>
      </c>
      <c r="N2131" s="1">
        <v>0.20699999999999999</v>
      </c>
      <c r="Q2131" s="1">
        <v>0.24560000000000001</v>
      </c>
      <c r="R2131" s="1">
        <v>0.20380000000000001</v>
      </c>
      <c r="T2131" s="1">
        <v>0.83250000000000002</v>
      </c>
    </row>
    <row r="2132" spans="1:21" x14ac:dyDescent="0.25">
      <c r="A2132" t="s">
        <v>204</v>
      </c>
      <c r="B2132">
        <v>2632</v>
      </c>
      <c r="C2132" t="s">
        <v>204</v>
      </c>
      <c r="D2132">
        <v>2632</v>
      </c>
      <c r="E2132" s="1">
        <v>0.15</v>
      </c>
      <c r="F2132" s="1">
        <v>2.0000000000000001E-4</v>
      </c>
      <c r="G2132" s="1">
        <v>2.7400000000000001E-2</v>
      </c>
      <c r="H2132" s="1">
        <v>0.24410000000000001</v>
      </c>
      <c r="I2132" s="1">
        <v>7.2300000000000003E-2</v>
      </c>
      <c r="J2132" s="1">
        <v>1.7399999999999999E-2</v>
      </c>
      <c r="K2132" s="1">
        <v>2.86E-2</v>
      </c>
      <c r="L2132" s="1">
        <v>9.8199999999999996E-2</v>
      </c>
      <c r="M2132" s="1">
        <v>4.4000000000000003E-3</v>
      </c>
      <c r="N2132" s="1">
        <v>5.3900000000000003E-2</v>
      </c>
      <c r="O2132" s="1">
        <v>2.8E-3</v>
      </c>
      <c r="P2132" s="1">
        <v>6.6E-3</v>
      </c>
      <c r="Q2132" s="1">
        <v>0.218</v>
      </c>
      <c r="R2132" s="1">
        <v>0.28670000000000001</v>
      </c>
      <c r="S2132" s="1">
        <v>2.2000000000000001E-3</v>
      </c>
      <c r="T2132" s="1">
        <v>0.66590000000000005</v>
      </c>
    </row>
    <row r="2134" spans="1:21" x14ac:dyDescent="0.25">
      <c r="A2134" t="s">
        <v>605</v>
      </c>
    </row>
    <row r="2135" spans="1:21" x14ac:dyDescent="0.25">
      <c r="A2135" t="s">
        <v>190</v>
      </c>
      <c r="B2135" t="s">
        <v>206</v>
      </c>
      <c r="C2135" t="s">
        <v>195</v>
      </c>
      <c r="D2135" t="s">
        <v>189</v>
      </c>
      <c r="E2135" t="s">
        <v>196</v>
      </c>
      <c r="F2135" t="s">
        <v>593</v>
      </c>
      <c r="G2135" t="s">
        <v>220</v>
      </c>
      <c r="H2135" t="s">
        <v>594</v>
      </c>
      <c r="I2135" t="s">
        <v>595</v>
      </c>
      <c r="J2135" t="s">
        <v>596</v>
      </c>
      <c r="K2135" t="s">
        <v>597</v>
      </c>
      <c r="L2135" t="s">
        <v>598</v>
      </c>
      <c r="M2135" t="s">
        <v>599</v>
      </c>
      <c r="N2135" t="s">
        <v>600</v>
      </c>
      <c r="O2135" t="s">
        <v>601</v>
      </c>
      <c r="P2135" t="s">
        <v>271</v>
      </c>
      <c r="Q2135" t="s">
        <v>235</v>
      </c>
      <c r="R2135" t="s">
        <v>602</v>
      </c>
      <c r="S2135" t="s">
        <v>603</v>
      </c>
      <c r="T2135" t="s">
        <v>215</v>
      </c>
      <c r="U2135" t="s">
        <v>604</v>
      </c>
    </row>
    <row r="2136" spans="1:21" x14ac:dyDescent="0.25">
      <c r="A2136" t="s">
        <v>198</v>
      </c>
      <c r="B2136" t="s">
        <v>228</v>
      </c>
      <c r="C2136">
        <v>33</v>
      </c>
      <c r="D2136" t="s">
        <v>197</v>
      </c>
      <c r="E2136">
        <v>2632</v>
      </c>
      <c r="F2136" s="1">
        <v>6.8400000000000002E-2</v>
      </c>
      <c r="H2136" s="1">
        <v>2.5600000000000001E-2</v>
      </c>
      <c r="I2136" s="1">
        <v>0.51219999999999999</v>
      </c>
      <c r="M2136" s="1">
        <v>2.5600000000000001E-2</v>
      </c>
      <c r="N2136" s="1">
        <v>3.1800000000000002E-2</v>
      </c>
      <c r="R2136" s="1">
        <v>0.21690000000000001</v>
      </c>
      <c r="S2136" s="1">
        <v>0.59560000000000002</v>
      </c>
      <c r="U2136" s="1">
        <v>0.30509999999999998</v>
      </c>
    </row>
    <row r="2137" spans="1:21" x14ac:dyDescent="0.25">
      <c r="A2137" t="s">
        <v>198</v>
      </c>
      <c r="B2137" t="s">
        <v>229</v>
      </c>
      <c r="C2137">
        <v>49</v>
      </c>
      <c r="D2137" t="s">
        <v>197</v>
      </c>
      <c r="E2137">
        <v>2632</v>
      </c>
      <c r="F2137" s="1">
        <v>0.1414</v>
      </c>
      <c r="H2137" s="1">
        <v>3.7400000000000003E-2</v>
      </c>
      <c r="I2137" s="1">
        <v>0.48670000000000002</v>
      </c>
      <c r="M2137" s="1">
        <v>9.9699999999999997E-2</v>
      </c>
      <c r="O2137" s="1">
        <v>8.1000000000000003E-2</v>
      </c>
      <c r="Q2137" s="1">
        <v>1.32E-2</v>
      </c>
      <c r="R2137" s="1">
        <v>0.28110000000000002</v>
      </c>
      <c r="S2137" s="1">
        <v>0.34770000000000001</v>
      </c>
      <c r="U2137" s="1">
        <v>0.5665</v>
      </c>
    </row>
    <row r="2138" spans="1:21" x14ac:dyDescent="0.25">
      <c r="A2138" t="s">
        <v>198</v>
      </c>
      <c r="B2138" t="s">
        <v>228</v>
      </c>
      <c r="C2138">
        <v>144</v>
      </c>
      <c r="D2138" t="s">
        <v>199</v>
      </c>
      <c r="E2138">
        <v>2632</v>
      </c>
      <c r="F2138" s="1">
        <v>0.18440000000000001</v>
      </c>
      <c r="H2138" s="1">
        <v>6.7100000000000007E-2</v>
      </c>
      <c r="I2138" s="1">
        <v>0.4365</v>
      </c>
      <c r="J2138" s="1">
        <v>6.2600000000000003E-2</v>
      </c>
      <c r="K2138" s="1">
        <v>9.06E-2</v>
      </c>
      <c r="L2138" s="1">
        <v>2.0999999999999999E-3</v>
      </c>
      <c r="M2138" s="1">
        <v>4.9099999999999998E-2</v>
      </c>
      <c r="O2138" s="1">
        <v>5.3E-3</v>
      </c>
      <c r="P2138" s="1">
        <v>5.7000000000000002E-3</v>
      </c>
      <c r="R2138" s="1">
        <v>0.30880000000000002</v>
      </c>
      <c r="S2138" s="1">
        <v>0.35809999999999997</v>
      </c>
      <c r="U2138" s="1">
        <v>0.374</v>
      </c>
    </row>
    <row r="2139" spans="1:21" x14ac:dyDescent="0.25">
      <c r="A2139" t="s">
        <v>198</v>
      </c>
      <c r="B2139" t="s">
        <v>229</v>
      </c>
      <c r="C2139">
        <v>213</v>
      </c>
      <c r="D2139" t="s">
        <v>199</v>
      </c>
      <c r="E2139">
        <v>2632</v>
      </c>
      <c r="F2139" s="1">
        <v>0.28620000000000001</v>
      </c>
      <c r="H2139" s="1">
        <v>6.3100000000000003E-2</v>
      </c>
      <c r="I2139" s="1">
        <v>0.56840000000000002</v>
      </c>
      <c r="J2139" s="1">
        <v>4.1000000000000003E-3</v>
      </c>
      <c r="K2139" s="1">
        <v>9.4999999999999998E-3</v>
      </c>
      <c r="L2139" s="1">
        <v>2.18E-2</v>
      </c>
      <c r="M2139" s="1">
        <v>0.1057</v>
      </c>
      <c r="N2139" s="1">
        <v>1.8E-3</v>
      </c>
      <c r="O2139" s="1">
        <v>4.9599999999999998E-2</v>
      </c>
      <c r="P2139" s="1">
        <v>1.2E-2</v>
      </c>
      <c r="Q2139" s="1">
        <v>4.0000000000000002E-4</v>
      </c>
      <c r="R2139" s="1">
        <v>0.27189999999999998</v>
      </c>
      <c r="S2139" s="1">
        <v>0.34039999999999998</v>
      </c>
      <c r="U2139" s="1">
        <v>0.5181</v>
      </c>
    </row>
    <row r="2140" spans="1:21" x14ac:dyDescent="0.25">
      <c r="A2140" t="s">
        <v>198</v>
      </c>
      <c r="B2140" t="s">
        <v>229</v>
      </c>
      <c r="C2140">
        <v>270</v>
      </c>
      <c r="D2140" t="s">
        <v>200</v>
      </c>
      <c r="E2140">
        <v>2632</v>
      </c>
      <c r="F2140" s="1">
        <v>0.11409999999999999</v>
      </c>
      <c r="G2140" s="1">
        <v>8.0000000000000004E-4</v>
      </c>
      <c r="H2140" s="1">
        <v>8.6E-3</v>
      </c>
      <c r="I2140" s="1">
        <v>0.43659999999999999</v>
      </c>
      <c r="J2140" s="1">
        <v>5.3800000000000001E-2</v>
      </c>
      <c r="K2140" s="1">
        <v>8.0999999999999996E-3</v>
      </c>
      <c r="M2140" s="1">
        <v>8.7999999999999995E-2</v>
      </c>
      <c r="N2140" s="1">
        <v>5.4000000000000003E-3</v>
      </c>
      <c r="O2140" s="1">
        <v>3.8899999999999997E-2</v>
      </c>
      <c r="Q2140" s="1">
        <v>1.21E-2</v>
      </c>
      <c r="R2140" s="1">
        <v>0.1908</v>
      </c>
      <c r="S2140" s="1">
        <v>0.2727</v>
      </c>
      <c r="T2140" s="1">
        <v>7.1000000000000004E-3</v>
      </c>
      <c r="U2140" s="1">
        <v>0.72009999999999996</v>
      </c>
    </row>
    <row r="2141" spans="1:21" x14ac:dyDescent="0.25">
      <c r="A2141" t="s">
        <v>198</v>
      </c>
      <c r="B2141" t="s">
        <v>228</v>
      </c>
      <c r="C2141">
        <v>112</v>
      </c>
      <c r="D2141" t="s">
        <v>200</v>
      </c>
      <c r="E2141">
        <v>2632</v>
      </c>
      <c r="F2141" s="1">
        <v>0.12770000000000001</v>
      </c>
      <c r="I2141" s="1">
        <v>0.4556</v>
      </c>
      <c r="J2141" s="1">
        <v>6.7500000000000004E-2</v>
      </c>
      <c r="K2141" s="1">
        <v>1.84E-2</v>
      </c>
      <c r="L2141" s="1">
        <v>1.1000000000000001E-3</v>
      </c>
      <c r="M2141" s="1">
        <v>0.14069999999999999</v>
      </c>
      <c r="N2141" s="1">
        <v>7.4999999999999997E-3</v>
      </c>
      <c r="O2141" s="1">
        <v>4.0000000000000002E-4</v>
      </c>
      <c r="P2141" s="1">
        <v>2.7300000000000001E-2</v>
      </c>
      <c r="Q2141" s="1">
        <v>2.6800000000000001E-2</v>
      </c>
      <c r="R2141" s="1">
        <v>0.27160000000000001</v>
      </c>
      <c r="S2141" s="1">
        <v>0.45669999999999999</v>
      </c>
      <c r="U2141" s="1">
        <v>0.57310000000000005</v>
      </c>
    </row>
    <row r="2142" spans="1:21" x14ac:dyDescent="0.25">
      <c r="A2142" t="s">
        <v>198</v>
      </c>
      <c r="B2142" t="s">
        <v>228</v>
      </c>
      <c r="C2142">
        <v>95</v>
      </c>
      <c r="D2142" t="s">
        <v>201</v>
      </c>
      <c r="E2142">
        <v>2632</v>
      </c>
      <c r="F2142" s="1">
        <v>0.22950000000000001</v>
      </c>
      <c r="G2142" s="1">
        <v>1.5E-3</v>
      </c>
      <c r="H2142" s="1">
        <v>5.9799999999999999E-2</v>
      </c>
      <c r="I2142" s="1">
        <v>0.35970000000000002</v>
      </c>
      <c r="J2142" s="1">
        <v>4.5499999999999999E-2</v>
      </c>
      <c r="K2142" s="1">
        <v>2.8299999999999999E-2</v>
      </c>
      <c r="M2142" s="1">
        <v>0.1145</v>
      </c>
      <c r="P2142" s="1">
        <v>1.66E-2</v>
      </c>
      <c r="Q2142" s="1">
        <v>1.5E-3</v>
      </c>
      <c r="R2142" s="1">
        <v>0.17019999999999999</v>
      </c>
      <c r="S2142" s="1">
        <v>0.4289</v>
      </c>
      <c r="U2142" s="1">
        <v>0.53039999999999998</v>
      </c>
    </row>
    <row r="2143" spans="1:21" x14ac:dyDescent="0.25">
      <c r="A2143" t="s">
        <v>198</v>
      </c>
      <c r="B2143" t="s">
        <v>229</v>
      </c>
      <c r="C2143">
        <v>155</v>
      </c>
      <c r="D2143" t="s">
        <v>201</v>
      </c>
      <c r="E2143">
        <v>2632</v>
      </c>
      <c r="F2143" s="1">
        <v>0.1525</v>
      </c>
      <c r="H2143" s="1">
        <v>3.0700000000000002E-2</v>
      </c>
      <c r="I2143" s="1">
        <v>0.4929</v>
      </c>
      <c r="J2143" s="1">
        <v>2.6100000000000002E-2</v>
      </c>
      <c r="K2143" s="1">
        <v>4.5999999999999999E-3</v>
      </c>
      <c r="M2143" s="1">
        <v>9.4899999999999998E-2</v>
      </c>
      <c r="N2143" s="1">
        <v>1.29E-2</v>
      </c>
      <c r="O2143" s="1">
        <v>5.8099999999999999E-2</v>
      </c>
      <c r="Q2143" s="1">
        <v>8.9999999999999998E-4</v>
      </c>
      <c r="R2143" s="1">
        <v>0.30570000000000003</v>
      </c>
      <c r="S2143" s="1">
        <v>0.26079999999999998</v>
      </c>
      <c r="U2143" s="1">
        <v>0.60570000000000002</v>
      </c>
    </row>
    <row r="2144" spans="1:21" s="29" customFormat="1" x14ac:dyDescent="0.25">
      <c r="A2144" s="29" t="s">
        <v>198</v>
      </c>
      <c r="B2144" s="29" t="s">
        <v>228</v>
      </c>
      <c r="C2144" s="29">
        <v>28</v>
      </c>
      <c r="D2144" s="29" t="s">
        <v>202</v>
      </c>
      <c r="E2144" s="29">
        <v>2632</v>
      </c>
      <c r="F2144" s="30">
        <v>0.29420000000000002</v>
      </c>
      <c r="H2144" s="30">
        <v>0.12820000000000001</v>
      </c>
      <c r="I2144" s="30">
        <v>0.61929999999999996</v>
      </c>
      <c r="K2144" s="30">
        <v>1.0699999999999999E-2</v>
      </c>
      <c r="M2144" s="30">
        <v>0.25409999999999999</v>
      </c>
      <c r="N2144" s="30">
        <v>4.0099999999999997E-2</v>
      </c>
      <c r="O2144" s="30">
        <v>2.1499999999999998E-2</v>
      </c>
      <c r="R2144" s="30">
        <v>0.1477</v>
      </c>
      <c r="S2144" s="30">
        <v>0.2838</v>
      </c>
      <c r="U2144" s="30">
        <v>0.27729999999999999</v>
      </c>
    </row>
    <row r="2145" spans="1:21" x14ac:dyDescent="0.25">
      <c r="A2145" t="s">
        <v>198</v>
      </c>
      <c r="B2145" t="s">
        <v>229</v>
      </c>
      <c r="C2145">
        <v>68</v>
      </c>
      <c r="D2145" t="s">
        <v>202</v>
      </c>
      <c r="E2145">
        <v>2632</v>
      </c>
      <c r="F2145" s="1">
        <v>0.09</v>
      </c>
      <c r="H2145" s="1">
        <v>8.6499999999999994E-2</v>
      </c>
      <c r="I2145" s="1">
        <v>0.53590000000000004</v>
      </c>
      <c r="J2145" s="1">
        <v>3.3E-3</v>
      </c>
      <c r="M2145" s="1">
        <v>0.1336</v>
      </c>
      <c r="O2145" s="1">
        <v>7.2900000000000006E-2</v>
      </c>
      <c r="Q2145" s="1">
        <v>2.12E-2</v>
      </c>
      <c r="R2145" s="1">
        <v>0.30280000000000001</v>
      </c>
      <c r="S2145" s="1">
        <v>0.26900000000000002</v>
      </c>
      <c r="U2145" s="1">
        <v>0.59940000000000004</v>
      </c>
    </row>
    <row r="2146" spans="1:21" x14ac:dyDescent="0.25">
      <c r="A2146" t="s">
        <v>203</v>
      </c>
      <c r="B2146" t="s">
        <v>229</v>
      </c>
      <c r="C2146">
        <v>370</v>
      </c>
      <c r="D2146" t="s">
        <v>199</v>
      </c>
      <c r="E2146">
        <v>2632</v>
      </c>
      <c r="F2146" s="1">
        <v>0.18770000000000001</v>
      </c>
      <c r="H2146" s="1">
        <v>1.35E-2</v>
      </c>
      <c r="I2146" s="1">
        <v>8.3099999999999993E-2</v>
      </c>
      <c r="J2146" s="1">
        <v>6.9699999999999998E-2</v>
      </c>
      <c r="K2146" s="1">
        <v>1.8499999999999999E-2</v>
      </c>
      <c r="L2146" s="1">
        <v>6.4199999999999993E-2</v>
      </c>
      <c r="M2146" s="1">
        <v>5.9900000000000002E-2</v>
      </c>
      <c r="N2146" s="1">
        <v>1.1999999999999999E-3</v>
      </c>
      <c r="O2146" s="1">
        <v>3.8800000000000001E-2</v>
      </c>
      <c r="P2146" s="1">
        <v>1.2999999999999999E-3</v>
      </c>
      <c r="Q2146" s="1">
        <v>5.9999999999999995E-4</v>
      </c>
      <c r="R2146" s="1">
        <v>0.21970000000000001</v>
      </c>
      <c r="S2146" s="1">
        <v>0.28939999999999999</v>
      </c>
      <c r="T2146" s="1">
        <v>1.01E-2</v>
      </c>
      <c r="U2146" s="1">
        <v>0.69730000000000003</v>
      </c>
    </row>
    <row r="2147" spans="1:21" x14ac:dyDescent="0.25">
      <c r="A2147" t="s">
        <v>203</v>
      </c>
      <c r="B2147" t="s">
        <v>228</v>
      </c>
      <c r="C2147">
        <v>150</v>
      </c>
      <c r="D2147" t="s">
        <v>199</v>
      </c>
      <c r="E2147">
        <v>2632</v>
      </c>
      <c r="F2147" s="1">
        <v>0.13039999999999999</v>
      </c>
      <c r="H2147" s="1">
        <v>9.9099999999999994E-2</v>
      </c>
      <c r="I2147" s="1">
        <v>3.6299999999999999E-2</v>
      </c>
      <c r="J2147" s="1">
        <v>0.13389999999999999</v>
      </c>
      <c r="K2147" s="1">
        <v>6.13E-2</v>
      </c>
      <c r="L2147" s="1">
        <v>9.0399999999999994E-2</v>
      </c>
      <c r="M2147" s="1">
        <v>4.02E-2</v>
      </c>
      <c r="N2147" s="1">
        <v>8.5000000000000006E-3</v>
      </c>
      <c r="O2147" s="1">
        <v>7.7799999999999994E-2</v>
      </c>
      <c r="P2147" s="1">
        <v>1.9199999999999998E-2</v>
      </c>
      <c r="Q2147" s="1">
        <v>1.6199999999999999E-2</v>
      </c>
      <c r="R2147" s="1">
        <v>0.20300000000000001</v>
      </c>
      <c r="S2147" s="1">
        <v>0.30640000000000001</v>
      </c>
      <c r="U2147" s="1">
        <v>0.57079999999999997</v>
      </c>
    </row>
    <row r="2148" spans="1:21" x14ac:dyDescent="0.25">
      <c r="A2148" t="s">
        <v>203</v>
      </c>
      <c r="B2148" t="s">
        <v>229</v>
      </c>
      <c r="C2148">
        <v>347</v>
      </c>
      <c r="D2148" t="s">
        <v>200</v>
      </c>
      <c r="E2148">
        <v>2632</v>
      </c>
      <c r="F2148" s="1">
        <v>8.7599999999999997E-2</v>
      </c>
      <c r="H2148" s="1">
        <v>2.2000000000000001E-3</v>
      </c>
      <c r="I2148" s="1">
        <v>8.9999999999999993E-3</v>
      </c>
      <c r="J2148" s="1">
        <v>0.13120000000000001</v>
      </c>
      <c r="K2148" s="1">
        <v>1.2800000000000001E-2</v>
      </c>
      <c r="L2148" s="1">
        <v>3.3099999999999997E-2</v>
      </c>
      <c r="M2148" s="1">
        <v>9.4E-2</v>
      </c>
      <c r="O2148" s="1">
        <v>6.2799999999999995E-2</v>
      </c>
      <c r="Q2148" s="1">
        <v>4.4000000000000003E-3</v>
      </c>
      <c r="R2148" s="1">
        <v>0.15670000000000001</v>
      </c>
      <c r="S2148" s="1">
        <v>0.2223</v>
      </c>
      <c r="T2148" s="1">
        <v>1E-4</v>
      </c>
      <c r="U2148" s="1">
        <v>0.81159999999999999</v>
      </c>
    </row>
    <row r="2149" spans="1:21" x14ac:dyDescent="0.25">
      <c r="A2149" t="s">
        <v>203</v>
      </c>
      <c r="B2149" t="s">
        <v>228</v>
      </c>
      <c r="C2149">
        <v>155</v>
      </c>
      <c r="D2149" t="s">
        <v>200</v>
      </c>
      <c r="E2149">
        <v>2632</v>
      </c>
      <c r="F2149" s="1">
        <v>0.1729</v>
      </c>
      <c r="G2149" s="1">
        <v>2.0999999999999999E-3</v>
      </c>
      <c r="H2149" s="1">
        <v>2.0999999999999999E-3</v>
      </c>
      <c r="I2149" s="1">
        <v>3.3999999999999998E-3</v>
      </c>
      <c r="J2149" s="1">
        <v>0.13200000000000001</v>
      </c>
      <c r="K2149" s="1">
        <v>3.44E-2</v>
      </c>
      <c r="L2149" s="1">
        <v>1.83E-2</v>
      </c>
      <c r="M2149" s="1">
        <v>9.2200000000000004E-2</v>
      </c>
      <c r="O2149" s="1">
        <v>1.6199999999999999E-2</v>
      </c>
      <c r="R2149" s="1">
        <v>0.23830000000000001</v>
      </c>
      <c r="S2149" s="1">
        <v>0.33810000000000001</v>
      </c>
      <c r="U2149" s="1">
        <v>0.71460000000000001</v>
      </c>
    </row>
    <row r="2150" spans="1:21" x14ac:dyDescent="0.25">
      <c r="A2150" t="s">
        <v>203</v>
      </c>
      <c r="B2150" t="s">
        <v>229</v>
      </c>
      <c r="C2150">
        <v>137</v>
      </c>
      <c r="D2150" t="s">
        <v>201</v>
      </c>
      <c r="E2150">
        <v>2632</v>
      </c>
      <c r="F2150" s="1">
        <v>0.1789</v>
      </c>
      <c r="H2150" s="1">
        <v>2.69E-2</v>
      </c>
      <c r="I2150" s="1">
        <v>5.2600000000000001E-2</v>
      </c>
      <c r="J2150" s="1">
        <v>0.18970000000000001</v>
      </c>
      <c r="K2150" s="1">
        <v>3.1E-2</v>
      </c>
      <c r="L2150" s="1">
        <v>7.6799999999999993E-2</v>
      </c>
      <c r="M2150" s="1">
        <v>0.111</v>
      </c>
      <c r="N2150" s="1">
        <v>1.5E-3</v>
      </c>
      <c r="O2150" s="1">
        <v>2.76E-2</v>
      </c>
      <c r="Q2150" s="1">
        <v>2.9499999999999998E-2</v>
      </c>
      <c r="R2150" s="1">
        <v>0.12470000000000001</v>
      </c>
      <c r="S2150" s="1">
        <v>0.21920000000000001</v>
      </c>
      <c r="T2150" s="1">
        <v>8.0999999999999996E-3</v>
      </c>
      <c r="U2150" s="1">
        <v>0.70469999999999999</v>
      </c>
    </row>
    <row r="2151" spans="1:21" x14ac:dyDescent="0.25">
      <c r="A2151" t="s">
        <v>203</v>
      </c>
      <c r="B2151" t="s">
        <v>228</v>
      </c>
      <c r="C2151">
        <v>177</v>
      </c>
      <c r="D2151" t="s">
        <v>201</v>
      </c>
      <c r="E2151">
        <v>2632</v>
      </c>
      <c r="F2151" s="1">
        <v>0.25580000000000003</v>
      </c>
      <c r="H2151" s="1">
        <v>4.9099999999999998E-2</v>
      </c>
      <c r="I2151" s="1">
        <v>6.08E-2</v>
      </c>
      <c r="J2151" s="1">
        <v>2.8199999999999999E-2</v>
      </c>
      <c r="K2151" s="1">
        <v>0.12709999999999999</v>
      </c>
      <c r="L2151" s="1">
        <v>7.4200000000000002E-2</v>
      </c>
      <c r="M2151" s="1">
        <v>4.4999999999999998E-2</v>
      </c>
      <c r="N2151" s="1">
        <v>1.6500000000000001E-2</v>
      </c>
      <c r="O2151" s="1">
        <v>6.7799999999999999E-2</v>
      </c>
      <c r="R2151" s="1">
        <v>0.22500000000000001</v>
      </c>
      <c r="S2151" s="1">
        <v>0.1903</v>
      </c>
      <c r="T2151" s="1">
        <v>8.0000000000000004E-4</v>
      </c>
      <c r="U2151" s="1">
        <v>0.66</v>
      </c>
    </row>
    <row r="2152" spans="1:21" x14ac:dyDescent="0.25">
      <c r="A2152" t="s">
        <v>203</v>
      </c>
      <c r="B2152" t="s">
        <v>228</v>
      </c>
      <c r="C2152">
        <v>34</v>
      </c>
      <c r="D2152" t="s">
        <v>202</v>
      </c>
      <c r="E2152">
        <v>2632</v>
      </c>
      <c r="F2152" s="1">
        <v>0.2165</v>
      </c>
      <c r="J2152" s="1">
        <v>3.8399999999999997E-2</v>
      </c>
      <c r="L2152" s="1">
        <v>8.0399999999999999E-2</v>
      </c>
      <c r="M2152" s="1">
        <v>0.1542</v>
      </c>
      <c r="N2152" s="1">
        <v>3.1E-2</v>
      </c>
      <c r="O2152" s="1">
        <v>0.31680000000000003</v>
      </c>
      <c r="R2152" s="1">
        <v>0.34489999999999998</v>
      </c>
      <c r="S2152" s="1">
        <v>0.26279999999999998</v>
      </c>
      <c r="U2152" s="1">
        <v>0.71409999999999996</v>
      </c>
    </row>
    <row r="2153" spans="1:21" x14ac:dyDescent="0.25">
      <c r="A2153" t="s">
        <v>203</v>
      </c>
      <c r="B2153" t="s">
        <v>229</v>
      </c>
      <c r="C2153">
        <v>56</v>
      </c>
      <c r="D2153" t="s">
        <v>202</v>
      </c>
      <c r="E2153">
        <v>2632</v>
      </c>
      <c r="F2153" s="1">
        <v>0.1552</v>
      </c>
      <c r="H2153" s="1">
        <v>6.8999999999999999E-3</v>
      </c>
      <c r="J2153" s="1">
        <v>5.8500000000000003E-2</v>
      </c>
      <c r="K2153" s="1">
        <v>1.2200000000000001E-2</v>
      </c>
      <c r="L2153" s="1">
        <v>8.8099999999999998E-2</v>
      </c>
      <c r="M2153" s="1">
        <v>0.1741</v>
      </c>
      <c r="N2153" s="1">
        <v>6.8999999999999999E-3</v>
      </c>
      <c r="O2153" s="1">
        <v>0.16370000000000001</v>
      </c>
      <c r="R2153" s="1">
        <v>0.2064</v>
      </c>
      <c r="S2153" s="1">
        <v>0.18060000000000001</v>
      </c>
      <c r="U2153" s="1">
        <v>0.87909999999999999</v>
      </c>
    </row>
    <row r="2154" spans="1:21" x14ac:dyDescent="0.25">
      <c r="A2154" t="s">
        <v>204</v>
      </c>
      <c r="B2154" t="s">
        <v>204</v>
      </c>
      <c r="C2154">
        <v>2632</v>
      </c>
      <c r="D2154" t="s">
        <v>204</v>
      </c>
      <c r="E2154">
        <v>2632</v>
      </c>
      <c r="F2154" s="1">
        <v>0.15</v>
      </c>
      <c r="G2154" s="1">
        <v>2.0000000000000001E-4</v>
      </c>
      <c r="H2154" s="1">
        <v>2.7400000000000001E-2</v>
      </c>
      <c r="I2154" s="1">
        <v>0.24410000000000001</v>
      </c>
      <c r="J2154" s="1">
        <v>7.2300000000000003E-2</v>
      </c>
      <c r="K2154" s="1">
        <v>1.7399999999999999E-2</v>
      </c>
      <c r="L2154" s="1">
        <v>2.86E-2</v>
      </c>
      <c r="M2154" s="1">
        <v>9.8199999999999996E-2</v>
      </c>
      <c r="N2154" s="1">
        <v>4.4000000000000003E-3</v>
      </c>
      <c r="O2154" s="1">
        <v>5.3900000000000003E-2</v>
      </c>
      <c r="P2154" s="1">
        <v>2.8E-3</v>
      </c>
      <c r="Q2154" s="1">
        <v>6.6E-3</v>
      </c>
      <c r="R2154" s="1">
        <v>0.218</v>
      </c>
      <c r="S2154" s="1">
        <v>0.28670000000000001</v>
      </c>
      <c r="T2154" s="1">
        <v>2.2000000000000001E-3</v>
      </c>
      <c r="U2154" s="1">
        <v>0.66590000000000005</v>
      </c>
    </row>
    <row r="2156" spans="1:21" x14ac:dyDescent="0.25">
      <c r="A2156" t="s">
        <v>606</v>
      </c>
    </row>
    <row r="2157" spans="1:21" x14ac:dyDescent="0.25">
      <c r="A2157" t="s">
        <v>190</v>
      </c>
      <c r="B2157" t="s">
        <v>206</v>
      </c>
      <c r="C2157" t="s">
        <v>195</v>
      </c>
      <c r="D2157" t="s">
        <v>189</v>
      </c>
      <c r="E2157" t="s">
        <v>196</v>
      </c>
      <c r="F2157" t="s">
        <v>593</v>
      </c>
      <c r="G2157" t="s">
        <v>220</v>
      </c>
      <c r="H2157" t="s">
        <v>594</v>
      </c>
      <c r="I2157" t="s">
        <v>595</v>
      </c>
      <c r="J2157" t="s">
        <v>596</v>
      </c>
      <c r="K2157" t="s">
        <v>597</v>
      </c>
      <c r="L2157" t="s">
        <v>598</v>
      </c>
      <c r="M2157" t="s">
        <v>599</v>
      </c>
      <c r="N2157" t="s">
        <v>600</v>
      </c>
      <c r="O2157" t="s">
        <v>601</v>
      </c>
      <c r="P2157" t="s">
        <v>271</v>
      </c>
      <c r="Q2157" t="s">
        <v>235</v>
      </c>
      <c r="R2157" t="s">
        <v>602</v>
      </c>
      <c r="S2157" t="s">
        <v>603</v>
      </c>
      <c r="T2157" t="s">
        <v>215</v>
      </c>
      <c r="U2157" t="s">
        <v>604</v>
      </c>
    </row>
    <row r="2158" spans="1:21" x14ac:dyDescent="0.25">
      <c r="A2158" t="s">
        <v>198</v>
      </c>
      <c r="B2158" t="s">
        <v>348</v>
      </c>
      <c r="C2158">
        <v>79</v>
      </c>
      <c r="D2158" t="s">
        <v>197</v>
      </c>
      <c r="E2158">
        <v>2632</v>
      </c>
      <c r="F2158" s="1">
        <v>0.1137</v>
      </c>
      <c r="H2158" s="1">
        <v>2.1999999999999999E-2</v>
      </c>
      <c r="I2158" s="1">
        <v>0.48049999999999998</v>
      </c>
      <c r="M2158" s="1">
        <v>7.0000000000000007E-2</v>
      </c>
      <c r="N2158" s="1">
        <v>1.4200000000000001E-2</v>
      </c>
      <c r="O2158" s="1">
        <v>4.7600000000000003E-2</v>
      </c>
      <c r="Q2158" s="1">
        <v>7.7000000000000002E-3</v>
      </c>
      <c r="R2158" s="1">
        <v>0.25059999999999999</v>
      </c>
      <c r="S2158" s="1">
        <v>0.45889999999999997</v>
      </c>
      <c r="U2158" s="1">
        <v>0.4577</v>
      </c>
    </row>
    <row r="2159" spans="1:21" s="29" customFormat="1" x14ac:dyDescent="0.25">
      <c r="A2159" s="29" t="s">
        <v>198</v>
      </c>
      <c r="B2159" s="29" t="s">
        <v>349</v>
      </c>
      <c r="C2159" s="29">
        <v>3</v>
      </c>
      <c r="D2159" s="29" t="s">
        <v>197</v>
      </c>
      <c r="E2159" s="29">
        <v>2632</v>
      </c>
      <c r="H2159" s="30">
        <v>0.33329999999999999</v>
      </c>
      <c r="I2159" s="30">
        <v>1</v>
      </c>
      <c r="R2159" s="30">
        <v>0.33329999999999999</v>
      </c>
      <c r="S2159" s="30">
        <v>0.33329999999999999</v>
      </c>
      <c r="U2159" s="30">
        <v>0.33329999999999999</v>
      </c>
    </row>
    <row r="2160" spans="1:21" x14ac:dyDescent="0.25">
      <c r="A2160" t="s">
        <v>198</v>
      </c>
      <c r="B2160" t="s">
        <v>348</v>
      </c>
      <c r="C2160">
        <v>54</v>
      </c>
      <c r="D2160" t="s">
        <v>199</v>
      </c>
      <c r="E2160">
        <v>2632</v>
      </c>
      <c r="F2160" s="1">
        <v>0.1469</v>
      </c>
      <c r="H2160" s="1">
        <v>8.8099999999999998E-2</v>
      </c>
      <c r="I2160" s="1">
        <v>0.67479999999999996</v>
      </c>
      <c r="L2160" s="1">
        <v>3.8E-3</v>
      </c>
      <c r="M2160" s="1">
        <v>3.8E-3</v>
      </c>
      <c r="O2160" s="1">
        <v>1.3599999999999999E-2</v>
      </c>
      <c r="R2160" s="1">
        <v>0.33279999999999998</v>
      </c>
      <c r="S2160" s="1">
        <v>0.54590000000000005</v>
      </c>
      <c r="U2160" s="1">
        <v>0.51190000000000002</v>
      </c>
    </row>
    <row r="2161" spans="1:21" x14ac:dyDescent="0.25">
      <c r="A2161" t="s">
        <v>198</v>
      </c>
      <c r="B2161" t="s">
        <v>349</v>
      </c>
      <c r="C2161">
        <v>111</v>
      </c>
      <c r="D2161" t="s">
        <v>199</v>
      </c>
      <c r="E2161">
        <v>2632</v>
      </c>
      <c r="F2161" s="1">
        <v>0.20100000000000001</v>
      </c>
      <c r="H2161" s="1">
        <v>7.4099999999999999E-2</v>
      </c>
      <c r="I2161" s="1">
        <v>0.45490000000000003</v>
      </c>
      <c r="J2161" s="1">
        <v>4.24E-2</v>
      </c>
      <c r="K2161" s="1">
        <v>5.8700000000000002E-2</v>
      </c>
      <c r="M2161" s="1">
        <v>0.1358</v>
      </c>
      <c r="N2161" s="1">
        <v>2E-3</v>
      </c>
      <c r="O2161" s="1">
        <v>1.6799999999999999E-2</v>
      </c>
      <c r="P2161" s="1">
        <v>2.5000000000000001E-3</v>
      </c>
      <c r="R2161" s="1">
        <v>0.25690000000000002</v>
      </c>
      <c r="S2161" s="1">
        <v>0.32129999999999997</v>
      </c>
      <c r="U2161" s="1">
        <v>0.52690000000000003</v>
      </c>
    </row>
    <row r="2162" spans="1:21" x14ac:dyDescent="0.25">
      <c r="A2162" t="s">
        <v>198</v>
      </c>
      <c r="B2162" t="s">
        <v>350</v>
      </c>
      <c r="C2162">
        <v>192</v>
      </c>
      <c r="D2162" t="s">
        <v>199</v>
      </c>
      <c r="E2162">
        <v>2632</v>
      </c>
      <c r="F2162" s="1">
        <v>0.36430000000000001</v>
      </c>
      <c r="H2162" s="1">
        <v>4.4900000000000002E-2</v>
      </c>
      <c r="I2162" s="1">
        <v>0.57469999999999999</v>
      </c>
      <c r="K2162" s="1">
        <v>9.2999999999999992E-3</v>
      </c>
      <c r="L2162" s="1">
        <v>3.9699999999999999E-2</v>
      </c>
      <c r="M2162" s="1">
        <v>7.1199999999999999E-2</v>
      </c>
      <c r="N2162" s="1">
        <v>1.1000000000000001E-3</v>
      </c>
      <c r="O2162" s="1">
        <v>7.0400000000000004E-2</v>
      </c>
      <c r="P2162" s="1">
        <v>2.2700000000000001E-2</v>
      </c>
      <c r="Q2162" s="1">
        <v>8.0000000000000004E-4</v>
      </c>
      <c r="R2162" s="1">
        <v>0.29120000000000001</v>
      </c>
      <c r="S2162" s="1">
        <v>0.30249999999999999</v>
      </c>
      <c r="U2162" s="1">
        <v>0.41920000000000002</v>
      </c>
    </row>
    <row r="2163" spans="1:21" x14ac:dyDescent="0.25">
      <c r="A2163" t="s">
        <v>198</v>
      </c>
      <c r="B2163" t="s">
        <v>350</v>
      </c>
      <c r="C2163">
        <v>78</v>
      </c>
      <c r="D2163" t="s">
        <v>200</v>
      </c>
      <c r="E2163">
        <v>2632</v>
      </c>
      <c r="F2163" s="1">
        <v>0.15690000000000001</v>
      </c>
      <c r="G2163" s="1">
        <v>8.8999999999999999E-3</v>
      </c>
      <c r="H2163" s="1">
        <v>1.35E-2</v>
      </c>
      <c r="I2163" s="1">
        <v>0.36180000000000001</v>
      </c>
      <c r="K2163" s="1">
        <v>4.7E-2</v>
      </c>
      <c r="M2163" s="1">
        <v>0.13919999999999999</v>
      </c>
      <c r="O2163" s="1">
        <v>3.3500000000000002E-2</v>
      </c>
      <c r="Q2163" s="1">
        <v>2.2700000000000001E-2</v>
      </c>
      <c r="R2163" s="1">
        <v>0.2581</v>
      </c>
      <c r="S2163" s="1">
        <v>0.24160000000000001</v>
      </c>
      <c r="U2163" s="1">
        <v>0.56010000000000004</v>
      </c>
    </row>
    <row r="2164" spans="1:21" x14ac:dyDescent="0.25">
      <c r="A2164" t="s">
        <v>198</v>
      </c>
      <c r="B2164" t="s">
        <v>348</v>
      </c>
      <c r="C2164">
        <v>242</v>
      </c>
      <c r="D2164" t="s">
        <v>200</v>
      </c>
      <c r="E2164">
        <v>2632</v>
      </c>
      <c r="F2164" s="1">
        <v>0.10249999999999999</v>
      </c>
      <c r="H2164" s="1">
        <v>6.4999999999999997E-3</v>
      </c>
      <c r="I2164" s="1">
        <v>0.43830000000000002</v>
      </c>
      <c r="J2164" s="1">
        <v>6.2100000000000002E-2</v>
      </c>
      <c r="K2164" s="1">
        <v>7.0000000000000001E-3</v>
      </c>
      <c r="M2164" s="1">
        <v>9.0899999999999995E-2</v>
      </c>
      <c r="N2164" s="1">
        <v>6.7999999999999996E-3</v>
      </c>
      <c r="O2164" s="1">
        <v>3.1600000000000003E-2</v>
      </c>
      <c r="P2164" s="1">
        <v>7.3000000000000001E-3</v>
      </c>
      <c r="Q2164" s="1">
        <v>1.5900000000000001E-2</v>
      </c>
      <c r="R2164" s="1">
        <v>0.1958</v>
      </c>
      <c r="S2164" s="1">
        <v>0.32629999999999998</v>
      </c>
      <c r="T2164" s="1">
        <v>5.3E-3</v>
      </c>
      <c r="U2164" s="1">
        <v>0.71599999999999997</v>
      </c>
    </row>
    <row r="2165" spans="1:21" x14ac:dyDescent="0.25">
      <c r="A2165" t="s">
        <v>198</v>
      </c>
      <c r="B2165" t="s">
        <v>349</v>
      </c>
      <c r="C2165">
        <v>62</v>
      </c>
      <c r="D2165" t="s">
        <v>200</v>
      </c>
      <c r="E2165">
        <v>2632</v>
      </c>
      <c r="F2165" s="1">
        <v>0.29060000000000002</v>
      </c>
      <c r="I2165" s="1">
        <v>0.57899999999999996</v>
      </c>
      <c r="J2165" s="1">
        <v>5.1200000000000002E-2</v>
      </c>
      <c r="K2165" s="1">
        <v>1.8200000000000001E-2</v>
      </c>
      <c r="L2165" s="1">
        <v>4.1999999999999997E-3</v>
      </c>
      <c r="M2165" s="1">
        <v>0.19270000000000001</v>
      </c>
      <c r="R2165" s="1">
        <v>0.35759999999999997</v>
      </c>
      <c r="S2165" s="1">
        <v>0.24679999999999999</v>
      </c>
      <c r="T2165" s="1">
        <v>1.38E-2</v>
      </c>
      <c r="U2165" s="1">
        <v>0.38840000000000002</v>
      </c>
    </row>
    <row r="2166" spans="1:21" x14ac:dyDescent="0.25">
      <c r="A2166" t="s">
        <v>198</v>
      </c>
      <c r="B2166" t="s">
        <v>349</v>
      </c>
      <c r="C2166">
        <v>125</v>
      </c>
      <c r="D2166" t="s">
        <v>201</v>
      </c>
      <c r="E2166">
        <v>2632</v>
      </c>
      <c r="F2166" s="1">
        <v>0.1729</v>
      </c>
      <c r="H2166" s="1">
        <v>3.8300000000000001E-2</v>
      </c>
      <c r="I2166" s="1">
        <v>0.47660000000000002</v>
      </c>
      <c r="J2166" s="1">
        <v>2.06E-2</v>
      </c>
      <c r="K2166" s="1">
        <v>7.0000000000000001E-3</v>
      </c>
      <c r="M2166" s="1">
        <v>0.12230000000000001</v>
      </c>
      <c r="N2166" s="1">
        <v>1.3599999999999999E-2</v>
      </c>
      <c r="O2166" s="1">
        <v>6.5699999999999995E-2</v>
      </c>
      <c r="R2166" s="1">
        <v>0.28370000000000001</v>
      </c>
      <c r="S2166" s="1">
        <v>0.24759999999999999</v>
      </c>
      <c r="U2166" s="1">
        <v>0.61909999999999998</v>
      </c>
    </row>
    <row r="2167" spans="1:21" x14ac:dyDescent="0.25">
      <c r="A2167" t="s">
        <v>198</v>
      </c>
      <c r="B2167" t="s">
        <v>350</v>
      </c>
      <c r="C2167">
        <v>63</v>
      </c>
      <c r="D2167" t="s">
        <v>201</v>
      </c>
      <c r="E2167">
        <v>2632</v>
      </c>
      <c r="F2167" s="1">
        <v>0.22939999999999999</v>
      </c>
      <c r="G2167" s="1">
        <v>6.8999999999999999E-3</v>
      </c>
      <c r="H2167" s="1">
        <v>0.1216</v>
      </c>
      <c r="I2167" s="1">
        <v>0.44979999999999998</v>
      </c>
      <c r="J2167" s="1">
        <v>6.8999999999999999E-3</v>
      </c>
      <c r="K2167" s="1">
        <v>2.7300000000000001E-2</v>
      </c>
      <c r="M2167" s="1">
        <v>7.8299999999999995E-2</v>
      </c>
      <c r="N2167" s="1">
        <v>1.47E-2</v>
      </c>
      <c r="Q2167" s="1">
        <v>2.1600000000000001E-2</v>
      </c>
      <c r="R2167" s="1">
        <v>0.15310000000000001</v>
      </c>
      <c r="S2167" s="1">
        <v>0.46460000000000001</v>
      </c>
      <c r="U2167" s="1">
        <v>0.44729999999999998</v>
      </c>
    </row>
    <row r="2168" spans="1:21" x14ac:dyDescent="0.25">
      <c r="A2168" t="s">
        <v>198</v>
      </c>
      <c r="B2168" t="s">
        <v>348</v>
      </c>
      <c r="C2168">
        <v>62</v>
      </c>
      <c r="D2168" t="s">
        <v>201</v>
      </c>
      <c r="E2168">
        <v>2632</v>
      </c>
      <c r="F2168" s="1">
        <v>0.14799999999999999</v>
      </c>
      <c r="H2168" s="1">
        <v>1.8499999999999999E-2</v>
      </c>
      <c r="I2168" s="1">
        <v>0.43380000000000002</v>
      </c>
      <c r="J2168" s="1">
        <v>6.0299999999999999E-2</v>
      </c>
      <c r="K2168" s="1">
        <v>1.37E-2</v>
      </c>
      <c r="M2168" s="1">
        <v>4.1000000000000002E-2</v>
      </c>
      <c r="P2168" s="1">
        <v>1.37E-2</v>
      </c>
      <c r="R2168" s="1">
        <v>0.27929999999999999</v>
      </c>
      <c r="S2168" s="1">
        <v>0.3987</v>
      </c>
      <c r="U2168" s="1">
        <v>0.53590000000000004</v>
      </c>
    </row>
    <row r="2169" spans="1:21" x14ac:dyDescent="0.25">
      <c r="A2169" t="s">
        <v>198</v>
      </c>
      <c r="B2169" t="s">
        <v>348</v>
      </c>
      <c r="C2169">
        <v>96</v>
      </c>
      <c r="D2169" t="s">
        <v>202</v>
      </c>
      <c r="E2169">
        <v>2632</v>
      </c>
      <c r="F2169" s="1">
        <v>0.13830000000000001</v>
      </c>
      <c r="H2169" s="1">
        <v>9.64E-2</v>
      </c>
      <c r="I2169" s="1">
        <v>0.55559999999999998</v>
      </c>
      <c r="J2169" s="1">
        <v>2.5000000000000001E-3</v>
      </c>
      <c r="K2169" s="1">
        <v>2.5000000000000001E-3</v>
      </c>
      <c r="M2169" s="1">
        <v>0.16209999999999999</v>
      </c>
      <c r="N2169" s="1">
        <v>9.4999999999999998E-3</v>
      </c>
      <c r="O2169" s="1">
        <v>6.0699999999999997E-2</v>
      </c>
      <c r="Q2169" s="1">
        <v>1.6199999999999999E-2</v>
      </c>
      <c r="R2169" s="1">
        <v>0.2661</v>
      </c>
      <c r="S2169" s="1">
        <v>0.27250000000000002</v>
      </c>
      <c r="U2169" s="1">
        <v>0.5232</v>
      </c>
    </row>
    <row r="2170" spans="1:21" x14ac:dyDescent="0.25">
      <c r="A2170" t="s">
        <v>203</v>
      </c>
      <c r="B2170" t="s">
        <v>349</v>
      </c>
      <c r="C2170">
        <v>171</v>
      </c>
      <c r="D2170" t="s">
        <v>199</v>
      </c>
      <c r="E2170">
        <v>2632</v>
      </c>
      <c r="F2170" s="1">
        <v>0.08</v>
      </c>
      <c r="H2170" s="1">
        <v>3.7100000000000001E-2</v>
      </c>
      <c r="I2170" s="1">
        <v>1.72E-2</v>
      </c>
      <c r="J2170" s="1">
        <v>8.3299999999999999E-2</v>
      </c>
      <c r="K2170" s="1">
        <v>3.1E-2</v>
      </c>
      <c r="L2170" s="1">
        <v>4.5100000000000001E-2</v>
      </c>
      <c r="M2170" s="1">
        <v>4.1399999999999999E-2</v>
      </c>
      <c r="N2170" s="1">
        <v>6.1000000000000004E-3</v>
      </c>
      <c r="O2170" s="1">
        <v>3.78E-2</v>
      </c>
      <c r="Q2170" s="1">
        <v>5.0000000000000001E-3</v>
      </c>
      <c r="R2170" s="1">
        <v>0.33800000000000002</v>
      </c>
      <c r="S2170" s="1">
        <v>0.19220000000000001</v>
      </c>
      <c r="U2170" s="1">
        <v>0.74539999999999995</v>
      </c>
    </row>
    <row r="2171" spans="1:21" x14ac:dyDescent="0.25">
      <c r="A2171" t="s">
        <v>203</v>
      </c>
      <c r="B2171" t="s">
        <v>348</v>
      </c>
      <c r="C2171">
        <v>42</v>
      </c>
      <c r="D2171" t="s">
        <v>199</v>
      </c>
      <c r="E2171">
        <v>2632</v>
      </c>
      <c r="F2171" s="1">
        <v>0.1084</v>
      </c>
      <c r="I2171" s="1">
        <v>5.1000000000000004E-3</v>
      </c>
      <c r="K2171" s="1">
        <v>4.6800000000000001E-2</v>
      </c>
      <c r="L2171" s="1">
        <v>3.1800000000000002E-2</v>
      </c>
      <c r="M2171" s="1">
        <v>5.67E-2</v>
      </c>
      <c r="O2171" s="1">
        <v>3.1800000000000002E-2</v>
      </c>
      <c r="R2171" s="1">
        <v>0.2157</v>
      </c>
      <c r="S2171" s="1">
        <v>0.23069999999999999</v>
      </c>
      <c r="U2171" s="1">
        <v>0.69579999999999997</v>
      </c>
    </row>
    <row r="2172" spans="1:21" x14ac:dyDescent="0.25">
      <c r="A2172" t="s">
        <v>203</v>
      </c>
      <c r="B2172" t="s">
        <v>350</v>
      </c>
      <c r="C2172">
        <v>307</v>
      </c>
      <c r="D2172" t="s">
        <v>199</v>
      </c>
      <c r="E2172">
        <v>2632</v>
      </c>
      <c r="F2172" s="1">
        <v>0.23860000000000001</v>
      </c>
      <c r="H2172" s="1">
        <v>1.6500000000000001E-2</v>
      </c>
      <c r="I2172" s="1">
        <v>0.1142</v>
      </c>
      <c r="J2172" s="1">
        <v>7.8100000000000003E-2</v>
      </c>
      <c r="K2172" s="1">
        <v>1.7399999999999999E-2</v>
      </c>
      <c r="L2172" s="1">
        <v>8.0500000000000002E-2</v>
      </c>
      <c r="M2172" s="1">
        <v>6.6299999999999998E-2</v>
      </c>
      <c r="O2172" s="1">
        <v>4.6300000000000001E-2</v>
      </c>
      <c r="P2172" s="1">
        <v>5.0000000000000001E-3</v>
      </c>
      <c r="Q2172" s="1">
        <v>1E-3</v>
      </c>
      <c r="R2172" s="1">
        <v>0.1565</v>
      </c>
      <c r="S2172" s="1">
        <v>0.34589999999999999</v>
      </c>
      <c r="T2172" s="1">
        <v>1.43E-2</v>
      </c>
      <c r="U2172" s="1">
        <v>0.65180000000000005</v>
      </c>
    </row>
    <row r="2173" spans="1:21" x14ac:dyDescent="0.25">
      <c r="A2173" t="s">
        <v>203</v>
      </c>
      <c r="B2173" t="s">
        <v>348</v>
      </c>
      <c r="C2173">
        <v>300</v>
      </c>
      <c r="D2173" t="s">
        <v>200</v>
      </c>
      <c r="E2173">
        <v>2632</v>
      </c>
      <c r="F2173" s="1">
        <v>0.1066</v>
      </c>
      <c r="G2173" s="1">
        <v>5.0000000000000001E-4</v>
      </c>
      <c r="H2173" s="1">
        <v>5.0000000000000001E-4</v>
      </c>
      <c r="I2173" s="1">
        <v>7.3000000000000001E-3</v>
      </c>
      <c r="J2173" s="1">
        <v>0.13500000000000001</v>
      </c>
      <c r="K2173" s="1">
        <v>1.77E-2</v>
      </c>
      <c r="L2173" s="1">
        <v>0.03</v>
      </c>
      <c r="M2173" s="1">
        <v>9.5000000000000001E-2</v>
      </c>
      <c r="O2173" s="1">
        <v>5.3400000000000003E-2</v>
      </c>
      <c r="Q2173" s="1">
        <v>2E-3</v>
      </c>
      <c r="R2173" s="1">
        <v>0.16320000000000001</v>
      </c>
      <c r="S2173" s="1">
        <v>0.2359</v>
      </c>
      <c r="U2173" s="1">
        <v>0.79920000000000002</v>
      </c>
    </row>
    <row r="2174" spans="1:21" x14ac:dyDescent="0.25">
      <c r="A2174" t="s">
        <v>203</v>
      </c>
      <c r="B2174" t="s">
        <v>349</v>
      </c>
      <c r="C2174">
        <v>108</v>
      </c>
      <c r="D2174" t="s">
        <v>200</v>
      </c>
      <c r="E2174">
        <v>2632</v>
      </c>
      <c r="F2174" s="1">
        <v>8.4699999999999998E-2</v>
      </c>
      <c r="H2174" s="1">
        <v>1.5299999999999999E-2</v>
      </c>
      <c r="I2174" s="1">
        <v>1.44E-2</v>
      </c>
      <c r="J2174" s="1">
        <v>7.1599999999999997E-2</v>
      </c>
      <c r="K2174" s="1">
        <v>1.6799999999999999E-2</v>
      </c>
      <c r="L2174" s="1">
        <v>3.9199999999999999E-2</v>
      </c>
      <c r="M2174" s="1">
        <v>0.1021</v>
      </c>
      <c r="O2174" s="1">
        <v>5.4399999999999997E-2</v>
      </c>
      <c r="Q2174" s="1">
        <v>7.7999999999999996E-3</v>
      </c>
      <c r="R2174" s="1">
        <v>0.26629999999999998</v>
      </c>
      <c r="S2174" s="1">
        <v>0.34250000000000003</v>
      </c>
      <c r="T2174" s="1">
        <v>8.9999999999999998E-4</v>
      </c>
      <c r="U2174" s="1">
        <v>0.77059999999999995</v>
      </c>
    </row>
    <row r="2175" spans="1:21" x14ac:dyDescent="0.25">
      <c r="A2175" t="s">
        <v>203</v>
      </c>
      <c r="B2175" t="s">
        <v>350</v>
      </c>
      <c r="C2175">
        <v>94</v>
      </c>
      <c r="D2175" t="s">
        <v>200</v>
      </c>
      <c r="E2175">
        <v>2632</v>
      </c>
      <c r="F2175" s="1">
        <v>8.2500000000000004E-2</v>
      </c>
      <c r="H2175" s="1">
        <v>1.55E-2</v>
      </c>
      <c r="I2175" s="1">
        <v>9.1000000000000004E-3</v>
      </c>
      <c r="J2175" s="1">
        <v>0.17699999999999999</v>
      </c>
      <c r="L2175" s="1">
        <v>1.38E-2</v>
      </c>
      <c r="M2175" s="1">
        <v>3.78E-2</v>
      </c>
      <c r="O2175" s="1">
        <v>6.2E-2</v>
      </c>
      <c r="Q2175" s="1">
        <v>3.44E-2</v>
      </c>
      <c r="R2175" s="1">
        <v>0.19450000000000001</v>
      </c>
      <c r="S2175" s="1">
        <v>0.24390000000000001</v>
      </c>
      <c r="U2175" s="1">
        <v>0.67779999999999996</v>
      </c>
    </row>
    <row r="2176" spans="1:21" x14ac:dyDescent="0.25">
      <c r="A2176" t="s">
        <v>203</v>
      </c>
      <c r="B2176" t="s">
        <v>348</v>
      </c>
      <c r="C2176">
        <v>62</v>
      </c>
      <c r="D2176" t="s">
        <v>201</v>
      </c>
      <c r="E2176">
        <v>2632</v>
      </c>
      <c r="F2176" s="1">
        <v>0.2631</v>
      </c>
      <c r="I2176" s="1">
        <v>6.4299999999999996E-2</v>
      </c>
      <c r="J2176" s="1">
        <v>5.1999999999999998E-3</v>
      </c>
      <c r="L2176" s="1">
        <v>1.26E-2</v>
      </c>
      <c r="M2176" s="1">
        <v>5.3600000000000002E-2</v>
      </c>
      <c r="O2176" s="1">
        <v>9.0399999999999994E-2</v>
      </c>
      <c r="R2176" s="1">
        <v>9.1999999999999998E-2</v>
      </c>
      <c r="S2176" s="1">
        <v>0.1699</v>
      </c>
      <c r="T2176" s="1">
        <v>3.8699999999999998E-2</v>
      </c>
      <c r="U2176" s="1">
        <v>0.76919999999999999</v>
      </c>
    </row>
    <row r="2177" spans="1:55" x14ac:dyDescent="0.25">
      <c r="A2177" t="s">
        <v>203</v>
      </c>
      <c r="B2177" t="s">
        <v>349</v>
      </c>
      <c r="C2177">
        <v>147</v>
      </c>
      <c r="D2177" t="s">
        <v>201</v>
      </c>
      <c r="E2177">
        <v>2632</v>
      </c>
      <c r="F2177" s="1">
        <v>0.1898</v>
      </c>
      <c r="H2177" s="1">
        <v>3.15E-2</v>
      </c>
      <c r="I2177" s="1">
        <v>4.6800000000000001E-2</v>
      </c>
      <c r="J2177" s="1">
        <v>0.1804</v>
      </c>
      <c r="K2177" s="1">
        <v>6.2199999999999998E-2</v>
      </c>
      <c r="L2177" s="1">
        <v>8.7800000000000003E-2</v>
      </c>
      <c r="M2177" s="1">
        <v>0.1013</v>
      </c>
      <c r="N2177" s="1">
        <v>4.7999999999999996E-3</v>
      </c>
      <c r="O2177" s="1">
        <v>2.3599999999999999E-2</v>
      </c>
      <c r="Q2177" s="1">
        <v>2.7400000000000001E-2</v>
      </c>
      <c r="R2177" s="1">
        <v>0.15179999999999999</v>
      </c>
      <c r="S2177" s="1">
        <v>0.2097</v>
      </c>
      <c r="T2177" s="1">
        <v>2.5000000000000001E-3</v>
      </c>
      <c r="U2177" s="1">
        <v>0.69350000000000001</v>
      </c>
    </row>
    <row r="2178" spans="1:55" x14ac:dyDescent="0.25">
      <c r="A2178" t="s">
        <v>203</v>
      </c>
      <c r="B2178" t="s">
        <v>350</v>
      </c>
      <c r="C2178">
        <v>105</v>
      </c>
      <c r="D2178" t="s">
        <v>201</v>
      </c>
      <c r="E2178">
        <v>2632</v>
      </c>
      <c r="F2178" s="1">
        <v>0.18160000000000001</v>
      </c>
      <c r="H2178" s="1">
        <v>8.9399999999999993E-2</v>
      </c>
      <c r="I2178" s="1">
        <v>0.12770000000000001</v>
      </c>
      <c r="J2178" s="1">
        <v>4.07E-2</v>
      </c>
      <c r="K2178" s="1">
        <v>4.3499999999999997E-2</v>
      </c>
      <c r="L2178" s="1">
        <v>4.2500000000000003E-2</v>
      </c>
      <c r="M2178" s="1">
        <v>8.9399999999999993E-2</v>
      </c>
      <c r="N2178" s="1">
        <v>1.6199999999999999E-2</v>
      </c>
      <c r="O2178" s="1">
        <v>0.11020000000000001</v>
      </c>
      <c r="R2178" s="1">
        <v>0.2006</v>
      </c>
      <c r="S2178" s="1">
        <v>0.30649999999999999</v>
      </c>
      <c r="U2178" s="1">
        <v>0.58360000000000001</v>
      </c>
    </row>
    <row r="2179" spans="1:55" x14ac:dyDescent="0.25">
      <c r="A2179" t="s">
        <v>203</v>
      </c>
      <c r="B2179" t="s">
        <v>348</v>
      </c>
      <c r="C2179">
        <v>90</v>
      </c>
      <c r="D2179" t="s">
        <v>202</v>
      </c>
      <c r="E2179">
        <v>2632</v>
      </c>
      <c r="F2179" s="1">
        <v>0.17249999999999999</v>
      </c>
      <c r="H2179" s="1">
        <v>4.8999999999999998E-3</v>
      </c>
      <c r="J2179" s="1">
        <v>5.28E-2</v>
      </c>
      <c r="K2179" s="1">
        <v>8.8000000000000005E-3</v>
      </c>
      <c r="L2179" s="1">
        <v>8.5999999999999993E-2</v>
      </c>
      <c r="M2179" s="1">
        <v>0.16839999999999999</v>
      </c>
      <c r="N2179" s="1">
        <v>1.37E-2</v>
      </c>
      <c r="O2179" s="1">
        <v>0.20699999999999999</v>
      </c>
      <c r="R2179" s="1">
        <v>0.24560000000000001</v>
      </c>
      <c r="S2179" s="1">
        <v>0.20380000000000001</v>
      </c>
      <c r="U2179" s="1">
        <v>0.83250000000000002</v>
      </c>
    </row>
    <row r="2180" spans="1:55" x14ac:dyDescent="0.25">
      <c r="A2180" t="s">
        <v>204</v>
      </c>
      <c r="B2180" t="s">
        <v>204</v>
      </c>
      <c r="C2180">
        <v>2632</v>
      </c>
      <c r="D2180" t="s">
        <v>204</v>
      </c>
      <c r="E2180">
        <v>2632</v>
      </c>
      <c r="F2180" s="1">
        <v>0.15</v>
      </c>
      <c r="G2180" s="1">
        <v>2.0000000000000001E-4</v>
      </c>
      <c r="H2180" s="1">
        <v>2.7400000000000001E-2</v>
      </c>
      <c r="I2180" s="1">
        <v>0.24410000000000001</v>
      </c>
      <c r="J2180" s="1">
        <v>7.2300000000000003E-2</v>
      </c>
      <c r="K2180" s="1">
        <v>1.7399999999999999E-2</v>
      </c>
      <c r="L2180" s="1">
        <v>2.86E-2</v>
      </c>
      <c r="M2180" s="1">
        <v>9.8199999999999996E-2</v>
      </c>
      <c r="N2180" s="1">
        <v>4.4000000000000003E-3</v>
      </c>
      <c r="O2180" s="1">
        <v>5.3900000000000003E-2</v>
      </c>
      <c r="P2180" s="1">
        <v>2.8E-3</v>
      </c>
      <c r="Q2180" s="1">
        <v>6.6E-3</v>
      </c>
      <c r="R2180" s="1">
        <v>0.218</v>
      </c>
      <c r="S2180" s="1">
        <v>0.28670000000000001</v>
      </c>
      <c r="T2180" s="1">
        <v>2.2000000000000001E-3</v>
      </c>
      <c r="U2180" s="1">
        <v>0.66590000000000005</v>
      </c>
    </row>
    <row r="2182" spans="1:55" x14ac:dyDescent="0.25">
      <c r="A2182" t="s">
        <v>607</v>
      </c>
    </row>
    <row r="2183" spans="1:55" x14ac:dyDescent="0.25">
      <c r="A2183" t="s">
        <v>189</v>
      </c>
      <c r="B2183" t="s">
        <v>190</v>
      </c>
      <c r="C2183" t="s">
        <v>608</v>
      </c>
      <c r="D2183" t="s">
        <v>609</v>
      </c>
      <c r="E2183" t="s">
        <v>610</v>
      </c>
      <c r="F2183" t="s">
        <v>611</v>
      </c>
      <c r="G2183" t="s">
        <v>612</v>
      </c>
      <c r="H2183" t="s">
        <v>613</v>
      </c>
      <c r="I2183" t="s">
        <v>614</v>
      </c>
      <c r="J2183" t="s">
        <v>615</v>
      </c>
      <c r="K2183" t="s">
        <v>616</v>
      </c>
      <c r="L2183" t="s">
        <v>617</v>
      </c>
      <c r="M2183" t="s">
        <v>618</v>
      </c>
      <c r="N2183" t="s">
        <v>619</v>
      </c>
      <c r="O2183" t="s">
        <v>620</v>
      </c>
      <c r="P2183" t="s">
        <v>621</v>
      </c>
      <c r="Q2183" t="s">
        <v>622</v>
      </c>
      <c r="R2183" t="s">
        <v>623</v>
      </c>
      <c r="S2183" t="s">
        <v>624</v>
      </c>
      <c r="T2183" t="s">
        <v>625</v>
      </c>
      <c r="U2183" t="s">
        <v>626</v>
      </c>
      <c r="V2183" t="s">
        <v>627</v>
      </c>
      <c r="W2183" t="s">
        <v>628</v>
      </c>
      <c r="X2183" t="s">
        <v>629</v>
      </c>
      <c r="Y2183" t="s">
        <v>630</v>
      </c>
      <c r="Z2183" t="s">
        <v>631</v>
      </c>
      <c r="AA2183" t="s">
        <v>632</v>
      </c>
      <c r="AB2183" t="s">
        <v>633</v>
      </c>
      <c r="AC2183" t="s">
        <v>634</v>
      </c>
      <c r="AD2183" t="s">
        <v>635</v>
      </c>
      <c r="AE2183" t="s">
        <v>636</v>
      </c>
      <c r="AF2183" t="s">
        <v>637</v>
      </c>
      <c r="AG2183" t="s">
        <v>638</v>
      </c>
      <c r="AH2183" t="s">
        <v>639</v>
      </c>
      <c r="AI2183" t="s">
        <v>640</v>
      </c>
      <c r="AJ2183" t="s">
        <v>641</v>
      </c>
      <c r="AK2183" t="s">
        <v>642</v>
      </c>
      <c r="AL2183" t="s">
        <v>643</v>
      </c>
      <c r="AM2183" t="s">
        <v>644</v>
      </c>
      <c r="AN2183" t="s">
        <v>645</v>
      </c>
      <c r="AO2183" t="s">
        <v>646</v>
      </c>
      <c r="AP2183" t="s">
        <v>647</v>
      </c>
      <c r="AQ2183" t="s">
        <v>648</v>
      </c>
      <c r="AR2183" t="s">
        <v>649</v>
      </c>
      <c r="AS2183" t="s">
        <v>650</v>
      </c>
      <c r="AT2183" t="s">
        <v>651</v>
      </c>
      <c r="AU2183" t="s">
        <v>652</v>
      </c>
      <c r="AV2183" t="s">
        <v>653</v>
      </c>
      <c r="AW2183" t="s">
        <v>654</v>
      </c>
      <c r="AX2183" t="s">
        <v>655</v>
      </c>
      <c r="AY2183" t="s">
        <v>656</v>
      </c>
      <c r="AZ2183" t="s">
        <v>657</v>
      </c>
      <c r="BA2183" t="s">
        <v>658</v>
      </c>
      <c r="BB2183" t="s">
        <v>659</v>
      </c>
      <c r="BC2183" t="s">
        <v>196</v>
      </c>
    </row>
    <row r="2184" spans="1:55" x14ac:dyDescent="0.25">
      <c r="A2184" t="s">
        <v>197</v>
      </c>
      <c r="B2184" t="s">
        <v>198</v>
      </c>
      <c r="C2184">
        <v>18051.664131171641</v>
      </c>
      <c r="D2184">
        <v>12000</v>
      </c>
      <c r="E2184">
        <v>6200</v>
      </c>
      <c r="F2184">
        <v>60000</v>
      </c>
      <c r="G2184">
        <v>8875.8694311180643</v>
      </c>
      <c r="H2184">
        <v>6100</v>
      </c>
      <c r="I2184">
        <v>300</v>
      </c>
      <c r="J2184">
        <v>35000</v>
      </c>
      <c r="S2184">
        <v>5177.6821207846297</v>
      </c>
      <c r="T2184">
        <v>4000</v>
      </c>
      <c r="U2184">
        <v>2000</v>
      </c>
      <c r="V2184">
        <v>14000</v>
      </c>
      <c r="W2184">
        <v>7898.4454079713441</v>
      </c>
      <c r="X2184">
        <v>7500</v>
      </c>
      <c r="Y2184">
        <v>2400</v>
      </c>
      <c r="Z2184">
        <v>22000</v>
      </c>
      <c r="AA2184">
        <v>6924.5572178276561</v>
      </c>
      <c r="AB2184">
        <v>6000</v>
      </c>
      <c r="AC2184">
        <v>300</v>
      </c>
      <c r="AD2184">
        <v>19000</v>
      </c>
      <c r="AI2184">
        <v>4981.8378482748303</v>
      </c>
      <c r="AJ2184">
        <v>6000</v>
      </c>
      <c r="AK2184">
        <v>1000</v>
      </c>
      <c r="AL2184">
        <v>10000</v>
      </c>
      <c r="AM2184">
        <v>30000</v>
      </c>
      <c r="AN2184">
        <v>30000</v>
      </c>
      <c r="AO2184">
        <v>30000</v>
      </c>
      <c r="AP2184">
        <v>30000</v>
      </c>
      <c r="AQ2184">
        <v>8666.6666666666661</v>
      </c>
      <c r="AR2184">
        <v>15000</v>
      </c>
      <c r="AS2184">
        <v>5000</v>
      </c>
      <c r="AT2184">
        <v>15000</v>
      </c>
      <c r="AU2184">
        <v>3000</v>
      </c>
      <c r="AV2184">
        <v>3000</v>
      </c>
      <c r="AW2184">
        <v>3000</v>
      </c>
      <c r="AX2184">
        <v>3000</v>
      </c>
      <c r="BC2184">
        <v>1317</v>
      </c>
    </row>
    <row r="2185" spans="1:55" x14ac:dyDescent="0.25">
      <c r="A2185" t="s">
        <v>199</v>
      </c>
      <c r="B2185" t="s">
        <v>198</v>
      </c>
      <c r="C2185">
        <v>21743.166541186649</v>
      </c>
      <c r="D2185">
        <v>15000</v>
      </c>
      <c r="E2185">
        <v>1600</v>
      </c>
      <c r="F2185">
        <v>100000</v>
      </c>
      <c r="G2185">
        <v>9889.4932087803099</v>
      </c>
      <c r="H2185">
        <v>8000</v>
      </c>
      <c r="I2185">
        <v>200</v>
      </c>
      <c r="J2185">
        <v>37000</v>
      </c>
      <c r="K2185">
        <v>9478.2407786205986</v>
      </c>
      <c r="L2185">
        <v>15000</v>
      </c>
      <c r="M2185">
        <v>8000</v>
      </c>
      <c r="N2185">
        <v>22000</v>
      </c>
      <c r="O2185">
        <v>3217.8934789139421</v>
      </c>
      <c r="P2185">
        <v>5000</v>
      </c>
      <c r="Q2185">
        <v>500</v>
      </c>
      <c r="R2185">
        <v>15000</v>
      </c>
      <c r="S2185">
        <v>5559.2205574154013</v>
      </c>
      <c r="T2185">
        <v>5000</v>
      </c>
      <c r="U2185">
        <v>2000</v>
      </c>
      <c r="V2185">
        <v>17000</v>
      </c>
      <c r="W2185">
        <v>6945.0229259504677</v>
      </c>
      <c r="X2185">
        <v>6900</v>
      </c>
      <c r="Y2185">
        <v>2300</v>
      </c>
      <c r="Z2185">
        <v>21500</v>
      </c>
      <c r="AA2185">
        <v>6713.2365029253724</v>
      </c>
      <c r="AB2185">
        <v>2500</v>
      </c>
      <c r="AC2185">
        <v>500</v>
      </c>
      <c r="AD2185">
        <v>340000</v>
      </c>
      <c r="AE2185">
        <v>522.8387406751641</v>
      </c>
      <c r="AF2185">
        <v>375</v>
      </c>
      <c r="AG2185">
        <v>375</v>
      </c>
      <c r="AH2185">
        <v>5000</v>
      </c>
      <c r="AI2185">
        <v>4235.0604024662634</v>
      </c>
      <c r="AJ2185">
        <v>3000</v>
      </c>
      <c r="AK2185">
        <v>1000</v>
      </c>
      <c r="AL2185">
        <v>8000</v>
      </c>
      <c r="AM2185">
        <v>5602.7828534188666</v>
      </c>
      <c r="AN2185">
        <v>3000</v>
      </c>
      <c r="AO2185">
        <v>300</v>
      </c>
      <c r="AP2185">
        <v>73000</v>
      </c>
      <c r="AQ2185">
        <v>5685.3936805625408</v>
      </c>
      <c r="AR2185">
        <v>6000</v>
      </c>
      <c r="AS2185">
        <v>2000</v>
      </c>
      <c r="AT2185">
        <v>18000</v>
      </c>
      <c r="AU2185">
        <v>3176.4875157670758</v>
      </c>
      <c r="AV2185">
        <v>1500</v>
      </c>
      <c r="AW2185">
        <v>1500</v>
      </c>
      <c r="AX2185">
        <v>6600</v>
      </c>
      <c r="AY2185">
        <v>8413.1782982267196</v>
      </c>
      <c r="AZ2185">
        <v>9900</v>
      </c>
      <c r="BA2185">
        <v>1400</v>
      </c>
      <c r="BB2185">
        <v>30000</v>
      </c>
      <c r="BC2185">
        <v>1317</v>
      </c>
    </row>
    <row r="2186" spans="1:55" x14ac:dyDescent="0.25">
      <c r="A2186" t="s">
        <v>200</v>
      </c>
      <c r="B2186" t="s">
        <v>198</v>
      </c>
      <c r="C2186">
        <v>27092.673797008141</v>
      </c>
      <c r="D2186">
        <v>24000</v>
      </c>
      <c r="E2186">
        <v>1600</v>
      </c>
      <c r="F2186">
        <v>100000</v>
      </c>
      <c r="G2186">
        <v>9862.2808477572362</v>
      </c>
      <c r="H2186">
        <v>9000</v>
      </c>
      <c r="I2186">
        <v>200</v>
      </c>
      <c r="J2186">
        <v>28000</v>
      </c>
      <c r="K2186">
        <v>38667.693096031762</v>
      </c>
      <c r="L2186">
        <v>50000</v>
      </c>
      <c r="M2186">
        <v>4000</v>
      </c>
      <c r="N2186">
        <v>60000</v>
      </c>
      <c r="O2186">
        <v>8517.0724612749436</v>
      </c>
      <c r="P2186">
        <v>8000</v>
      </c>
      <c r="Q2186">
        <v>2000</v>
      </c>
      <c r="R2186">
        <v>15000</v>
      </c>
      <c r="S2186">
        <v>5337.4273081751544</v>
      </c>
      <c r="T2186">
        <v>4000</v>
      </c>
      <c r="U2186">
        <v>2000</v>
      </c>
      <c r="V2186">
        <v>23000</v>
      </c>
      <c r="W2186">
        <v>6651.5196486696041</v>
      </c>
      <c r="X2186">
        <v>5000</v>
      </c>
      <c r="Y2186">
        <v>2300</v>
      </c>
      <c r="Z2186">
        <v>30000</v>
      </c>
      <c r="AA2186">
        <v>3268.1685170875398</v>
      </c>
      <c r="AB2186">
        <v>2800</v>
      </c>
      <c r="AC2186">
        <v>340</v>
      </c>
      <c r="AD2186">
        <v>15900</v>
      </c>
      <c r="AE2186">
        <v>1500</v>
      </c>
      <c r="AF2186">
        <v>1500</v>
      </c>
      <c r="AG2186">
        <v>1500</v>
      </c>
      <c r="AH2186">
        <v>1500</v>
      </c>
      <c r="AI2186">
        <v>13050.288613689059</v>
      </c>
      <c r="AJ2186">
        <v>10000</v>
      </c>
      <c r="AK2186">
        <v>2000</v>
      </c>
      <c r="AL2186">
        <v>40000</v>
      </c>
      <c r="AM2186">
        <v>10720.09914402221</v>
      </c>
      <c r="AN2186">
        <v>10800</v>
      </c>
      <c r="AO2186">
        <v>10600</v>
      </c>
      <c r="AP2186">
        <v>10800</v>
      </c>
      <c r="AQ2186">
        <v>10690.41857481292</v>
      </c>
      <c r="AR2186">
        <v>7000</v>
      </c>
      <c r="AS2186">
        <v>700</v>
      </c>
      <c r="AT2186">
        <v>50000</v>
      </c>
      <c r="AU2186">
        <v>2587.6238420285608</v>
      </c>
      <c r="AV2186">
        <v>2000</v>
      </c>
      <c r="AW2186">
        <v>2000</v>
      </c>
      <c r="AX2186">
        <v>4000</v>
      </c>
      <c r="AY2186">
        <v>34182.052735566424</v>
      </c>
      <c r="AZ2186">
        <v>50000</v>
      </c>
      <c r="BA2186">
        <v>2000</v>
      </c>
      <c r="BB2186">
        <v>50000</v>
      </c>
      <c r="BC2186">
        <v>1317</v>
      </c>
    </row>
    <row r="2187" spans="1:55" x14ac:dyDescent="0.25">
      <c r="A2187" t="s">
        <v>201</v>
      </c>
      <c r="B2187" t="s">
        <v>198</v>
      </c>
      <c r="C2187">
        <v>20858.260764170849</v>
      </c>
      <c r="D2187">
        <v>15000</v>
      </c>
      <c r="E2187">
        <v>2000</v>
      </c>
      <c r="F2187">
        <v>66000</v>
      </c>
      <c r="G2187">
        <v>9736.4700140476634</v>
      </c>
      <c r="H2187">
        <v>6000</v>
      </c>
      <c r="I2187">
        <v>500</v>
      </c>
      <c r="J2187">
        <v>45000</v>
      </c>
      <c r="K2187">
        <v>11383.30259882049</v>
      </c>
      <c r="L2187">
        <v>10000</v>
      </c>
      <c r="M2187">
        <v>3000</v>
      </c>
      <c r="N2187">
        <v>20000</v>
      </c>
      <c r="O2187">
        <v>3738.9451033948758</v>
      </c>
      <c r="P2187">
        <v>4000</v>
      </c>
      <c r="Q2187">
        <v>2500</v>
      </c>
      <c r="R2187">
        <v>7000</v>
      </c>
      <c r="S2187">
        <v>5348.5749939585812</v>
      </c>
      <c r="T2187">
        <v>5000</v>
      </c>
      <c r="U2187">
        <v>2000</v>
      </c>
      <c r="V2187">
        <v>16000</v>
      </c>
      <c r="W2187">
        <v>5355.9341405402884</v>
      </c>
      <c r="X2187">
        <v>4500</v>
      </c>
      <c r="Y2187">
        <v>2300</v>
      </c>
      <c r="Z2187">
        <v>14000</v>
      </c>
      <c r="AA2187">
        <v>3856.4672216579102</v>
      </c>
      <c r="AB2187">
        <v>2800</v>
      </c>
      <c r="AC2187">
        <v>800</v>
      </c>
      <c r="AD2187">
        <v>20000</v>
      </c>
      <c r="AI2187">
        <v>8591.393856474182</v>
      </c>
      <c r="AJ2187">
        <v>10000</v>
      </c>
      <c r="AK2187">
        <v>2000</v>
      </c>
      <c r="AL2187">
        <v>17000</v>
      </c>
      <c r="AM2187">
        <v>4142.8860248730507</v>
      </c>
      <c r="AN2187">
        <v>6400</v>
      </c>
      <c r="AO2187">
        <v>500</v>
      </c>
      <c r="AP2187">
        <v>21600</v>
      </c>
      <c r="AQ2187">
        <v>6708.6509005847074</v>
      </c>
      <c r="AR2187">
        <v>6000</v>
      </c>
      <c r="AS2187">
        <v>1500</v>
      </c>
      <c r="AT2187">
        <v>38000</v>
      </c>
      <c r="AU2187">
        <v>3000</v>
      </c>
      <c r="AV2187">
        <v>3000</v>
      </c>
      <c r="AW2187">
        <v>3000</v>
      </c>
      <c r="AX2187">
        <v>3000</v>
      </c>
      <c r="BC2187">
        <v>1317</v>
      </c>
    </row>
    <row r="2188" spans="1:55" x14ac:dyDescent="0.25">
      <c r="A2188" t="s">
        <v>202</v>
      </c>
      <c r="B2188" t="s">
        <v>198</v>
      </c>
      <c r="C2188">
        <v>18341.341058779792</v>
      </c>
      <c r="D2188">
        <v>19000</v>
      </c>
      <c r="E2188">
        <v>3500</v>
      </c>
      <c r="F2188">
        <v>50000</v>
      </c>
      <c r="G2188">
        <v>18351.996762597031</v>
      </c>
      <c r="H2188">
        <v>24000</v>
      </c>
      <c r="I2188">
        <v>2700</v>
      </c>
      <c r="J2188">
        <v>40000</v>
      </c>
      <c r="O2188">
        <v>3000</v>
      </c>
      <c r="P2188">
        <v>3000</v>
      </c>
      <c r="Q2188">
        <v>3000</v>
      </c>
      <c r="R2188">
        <v>3000</v>
      </c>
      <c r="S2188">
        <v>5533.71978291913</v>
      </c>
      <c r="T2188">
        <v>4600</v>
      </c>
      <c r="U2188">
        <v>2000</v>
      </c>
      <c r="V2188">
        <v>21000</v>
      </c>
      <c r="W2188">
        <v>6592.5181515918557</v>
      </c>
      <c r="X2188">
        <v>5800</v>
      </c>
      <c r="Y2188">
        <v>2500</v>
      </c>
      <c r="Z2188">
        <v>17000</v>
      </c>
      <c r="AA2188">
        <v>5252.6251017150216</v>
      </c>
      <c r="AB2188">
        <v>2960</v>
      </c>
      <c r="AC2188">
        <v>800</v>
      </c>
      <c r="AD2188">
        <v>28000</v>
      </c>
      <c r="AI2188">
        <v>4000</v>
      </c>
      <c r="AJ2188">
        <v>4000</v>
      </c>
      <c r="AK2188">
        <v>4000</v>
      </c>
      <c r="AL2188">
        <v>4000</v>
      </c>
      <c r="AM2188">
        <v>7719.892095858695</v>
      </c>
      <c r="AN2188">
        <v>3200</v>
      </c>
      <c r="AO2188">
        <v>1500</v>
      </c>
      <c r="AP2188">
        <v>33000</v>
      </c>
      <c r="AQ2188">
        <v>32431.802788089499</v>
      </c>
      <c r="AR2188">
        <v>30000</v>
      </c>
      <c r="AS2188">
        <v>200</v>
      </c>
      <c r="AT2188">
        <v>150000</v>
      </c>
      <c r="BC2188">
        <v>1317</v>
      </c>
    </row>
    <row r="2189" spans="1:55" x14ac:dyDescent="0.25">
      <c r="A2189" t="s">
        <v>199</v>
      </c>
      <c r="B2189" t="s">
        <v>203</v>
      </c>
      <c r="C2189">
        <v>23085.306028201911</v>
      </c>
      <c r="D2189">
        <v>20000</v>
      </c>
      <c r="E2189">
        <v>1600</v>
      </c>
      <c r="F2189">
        <v>130000</v>
      </c>
      <c r="G2189">
        <v>10798.6814912011</v>
      </c>
      <c r="H2189">
        <v>8000</v>
      </c>
      <c r="I2189">
        <v>500</v>
      </c>
      <c r="J2189">
        <v>40000</v>
      </c>
      <c r="K2189">
        <v>67115.772653857508</v>
      </c>
      <c r="L2189">
        <v>60000</v>
      </c>
      <c r="M2189">
        <v>2100</v>
      </c>
      <c r="N2189">
        <v>300000</v>
      </c>
      <c r="O2189">
        <v>5074.3705864479944</v>
      </c>
      <c r="P2189">
        <v>6000</v>
      </c>
      <c r="Q2189">
        <v>500</v>
      </c>
      <c r="R2189">
        <v>20000</v>
      </c>
      <c r="S2189">
        <v>5399.1691374086167</v>
      </c>
      <c r="T2189">
        <v>4000</v>
      </c>
      <c r="U2189">
        <v>2000</v>
      </c>
      <c r="V2189">
        <v>11000</v>
      </c>
      <c r="W2189">
        <v>6897.0293778321939</v>
      </c>
      <c r="X2189">
        <v>6000</v>
      </c>
      <c r="Y2189">
        <v>2300</v>
      </c>
      <c r="Z2189">
        <v>30000</v>
      </c>
      <c r="AA2189">
        <v>3759.2737759161109</v>
      </c>
      <c r="AB2189">
        <v>1600</v>
      </c>
      <c r="AC2189">
        <v>500</v>
      </c>
      <c r="AD2189">
        <v>40000</v>
      </c>
      <c r="AE2189">
        <v>4168.2145575275599</v>
      </c>
      <c r="AF2189">
        <v>5000</v>
      </c>
      <c r="AG2189">
        <v>417</v>
      </c>
      <c r="AH2189">
        <v>10000</v>
      </c>
      <c r="AI2189">
        <v>9594.2938469345499</v>
      </c>
      <c r="AJ2189">
        <v>10000</v>
      </c>
      <c r="AK2189">
        <v>1500</v>
      </c>
      <c r="AL2189">
        <v>20000</v>
      </c>
      <c r="AM2189">
        <v>9317.5312340144083</v>
      </c>
      <c r="AN2189">
        <v>10000</v>
      </c>
      <c r="AO2189">
        <v>500</v>
      </c>
      <c r="AP2189">
        <v>63000</v>
      </c>
      <c r="AQ2189">
        <v>13244.309919159539</v>
      </c>
      <c r="AR2189">
        <v>3000</v>
      </c>
      <c r="AS2189">
        <v>1000</v>
      </c>
      <c r="AT2189">
        <v>50000</v>
      </c>
      <c r="AU2189">
        <v>3000</v>
      </c>
      <c r="AV2189">
        <v>3000</v>
      </c>
      <c r="AW2189">
        <v>3000</v>
      </c>
      <c r="AX2189">
        <v>3000</v>
      </c>
      <c r="AY2189">
        <v>12737.68766219061</v>
      </c>
      <c r="AZ2189">
        <v>10000</v>
      </c>
      <c r="BA2189">
        <v>1000</v>
      </c>
      <c r="BB2189">
        <v>70000</v>
      </c>
      <c r="BC2189">
        <v>1317</v>
      </c>
    </row>
    <row r="2190" spans="1:55" x14ac:dyDescent="0.25">
      <c r="A2190" t="s">
        <v>200</v>
      </c>
      <c r="B2190" t="s">
        <v>203</v>
      </c>
      <c r="C2190">
        <v>34077.562035991221</v>
      </c>
      <c r="D2190">
        <v>27000</v>
      </c>
      <c r="E2190">
        <v>2000</v>
      </c>
      <c r="F2190">
        <v>250000</v>
      </c>
      <c r="G2190">
        <v>17765.57619200429</v>
      </c>
      <c r="H2190">
        <v>15000</v>
      </c>
      <c r="I2190">
        <v>500</v>
      </c>
      <c r="J2190">
        <v>80000</v>
      </c>
      <c r="K2190">
        <v>47358.540489119623</v>
      </c>
      <c r="L2190">
        <v>45000</v>
      </c>
      <c r="M2190">
        <v>1000</v>
      </c>
      <c r="N2190">
        <v>100000</v>
      </c>
      <c r="O2190">
        <v>10107.47822314209</v>
      </c>
      <c r="P2190">
        <v>10000</v>
      </c>
      <c r="Q2190">
        <v>1000</v>
      </c>
      <c r="R2190">
        <v>15000</v>
      </c>
      <c r="S2190">
        <v>3527.2514320333898</v>
      </c>
      <c r="T2190">
        <v>3000</v>
      </c>
      <c r="U2190">
        <v>2000</v>
      </c>
      <c r="V2190">
        <v>9000</v>
      </c>
      <c r="W2190">
        <v>6381.6852299638012</v>
      </c>
      <c r="X2190">
        <v>5700</v>
      </c>
      <c r="Y2190">
        <v>2500</v>
      </c>
      <c r="Z2190">
        <v>30000</v>
      </c>
      <c r="AA2190">
        <v>2353.8332054229249</v>
      </c>
      <c r="AB2190">
        <v>860</v>
      </c>
      <c r="AC2190">
        <v>245</v>
      </c>
      <c r="AD2190">
        <v>22000</v>
      </c>
      <c r="AE2190">
        <v>7822.6742819990613</v>
      </c>
      <c r="AF2190">
        <v>10000</v>
      </c>
      <c r="AG2190">
        <v>290</v>
      </c>
      <c r="AH2190">
        <v>20000</v>
      </c>
      <c r="AI2190">
        <v>4991.1567874307266</v>
      </c>
      <c r="AJ2190">
        <v>6000</v>
      </c>
      <c r="AK2190">
        <v>1000</v>
      </c>
      <c r="AL2190">
        <v>10000</v>
      </c>
      <c r="AM2190">
        <v>7831.1400915827426</v>
      </c>
      <c r="AN2190">
        <v>10500</v>
      </c>
      <c r="AO2190">
        <v>1500</v>
      </c>
      <c r="AP2190">
        <v>10500</v>
      </c>
      <c r="AQ2190">
        <v>7232.6538250667054</v>
      </c>
      <c r="AR2190">
        <v>5000</v>
      </c>
      <c r="AS2190">
        <v>500</v>
      </c>
      <c r="AT2190">
        <v>50000</v>
      </c>
      <c r="AY2190">
        <v>11094.869421512651</v>
      </c>
      <c r="AZ2190">
        <v>5000</v>
      </c>
      <c r="BA2190">
        <v>500</v>
      </c>
      <c r="BB2190">
        <v>42000</v>
      </c>
      <c r="BC2190">
        <v>1317</v>
      </c>
    </row>
    <row r="2191" spans="1:55" x14ac:dyDescent="0.25">
      <c r="A2191" t="s">
        <v>201</v>
      </c>
      <c r="B2191" t="s">
        <v>203</v>
      </c>
      <c r="C2191">
        <v>27084.024169083059</v>
      </c>
      <c r="D2191">
        <v>22000</v>
      </c>
      <c r="E2191">
        <v>1700</v>
      </c>
      <c r="F2191">
        <v>120000</v>
      </c>
      <c r="G2191">
        <v>7862.9358641554554</v>
      </c>
      <c r="H2191">
        <v>6000</v>
      </c>
      <c r="I2191">
        <v>1000</v>
      </c>
      <c r="J2191">
        <v>30000</v>
      </c>
      <c r="K2191">
        <v>29169.175066557818</v>
      </c>
      <c r="L2191">
        <v>30000</v>
      </c>
      <c r="M2191">
        <v>2000</v>
      </c>
      <c r="N2191">
        <v>85000</v>
      </c>
      <c r="O2191">
        <v>6124.8560749002754</v>
      </c>
      <c r="P2191">
        <v>8000</v>
      </c>
      <c r="Q2191">
        <v>300</v>
      </c>
      <c r="R2191">
        <v>40000</v>
      </c>
      <c r="S2191">
        <v>4411.5722003878236</v>
      </c>
      <c r="T2191">
        <v>4000</v>
      </c>
      <c r="U2191">
        <v>2000</v>
      </c>
      <c r="V2191">
        <v>20000</v>
      </c>
      <c r="W2191">
        <v>5282.4679034265382</v>
      </c>
      <c r="X2191">
        <v>5000</v>
      </c>
      <c r="Y2191">
        <v>2300</v>
      </c>
      <c r="Z2191">
        <v>11000</v>
      </c>
      <c r="AA2191">
        <v>3452.95808227314</v>
      </c>
      <c r="AB2191">
        <v>3000</v>
      </c>
      <c r="AC2191">
        <v>500</v>
      </c>
      <c r="AD2191">
        <v>25000</v>
      </c>
      <c r="AE2191">
        <v>6509.6385309171183</v>
      </c>
      <c r="AF2191">
        <v>4500</v>
      </c>
      <c r="AG2191">
        <v>2500</v>
      </c>
      <c r="AH2191">
        <v>55000</v>
      </c>
      <c r="AI2191">
        <v>8933.2703427592569</v>
      </c>
      <c r="AJ2191">
        <v>5000</v>
      </c>
      <c r="AK2191">
        <v>1500</v>
      </c>
      <c r="AL2191">
        <v>60000</v>
      </c>
      <c r="AM2191">
        <v>7863.150724566106</v>
      </c>
      <c r="AN2191">
        <v>1000</v>
      </c>
      <c r="AO2191">
        <v>200</v>
      </c>
      <c r="AP2191">
        <v>80000</v>
      </c>
      <c r="AQ2191">
        <v>3719.9390840601131</v>
      </c>
      <c r="AR2191">
        <v>2000</v>
      </c>
      <c r="AS2191">
        <v>500</v>
      </c>
      <c r="AT2191">
        <v>100000</v>
      </c>
      <c r="AU2191">
        <v>15547.22025570412</v>
      </c>
      <c r="AV2191">
        <v>25000</v>
      </c>
      <c r="AW2191">
        <v>5000</v>
      </c>
      <c r="AX2191">
        <v>25000</v>
      </c>
      <c r="AY2191">
        <v>9708.2355693703648</v>
      </c>
      <c r="AZ2191">
        <v>70000</v>
      </c>
      <c r="BA2191">
        <v>4500</v>
      </c>
      <c r="BB2191">
        <v>70000</v>
      </c>
      <c r="BC2191">
        <v>1317</v>
      </c>
    </row>
    <row r="2192" spans="1:55" x14ac:dyDescent="0.25">
      <c r="A2192" t="s">
        <v>202</v>
      </c>
      <c r="B2192" t="s">
        <v>203</v>
      </c>
      <c r="C2192">
        <v>32553.155732704359</v>
      </c>
      <c r="D2192">
        <v>28000</v>
      </c>
      <c r="E2192">
        <v>5800</v>
      </c>
      <c r="F2192">
        <v>140000</v>
      </c>
      <c r="G2192">
        <v>13362.87053362287</v>
      </c>
      <c r="H2192">
        <v>11000</v>
      </c>
      <c r="I2192">
        <v>5000</v>
      </c>
      <c r="J2192">
        <v>80000</v>
      </c>
      <c r="K2192">
        <v>27117.341345219531</v>
      </c>
      <c r="L2192">
        <v>21000</v>
      </c>
      <c r="M2192">
        <v>21000</v>
      </c>
      <c r="N2192">
        <v>40000</v>
      </c>
      <c r="W2192">
        <v>7147.6692544520583</v>
      </c>
      <c r="X2192">
        <v>6000</v>
      </c>
      <c r="Y2192">
        <v>2400</v>
      </c>
      <c r="Z2192">
        <v>18000</v>
      </c>
      <c r="AA2192">
        <v>2530.9447810426041</v>
      </c>
      <c r="AB2192">
        <v>2315</v>
      </c>
      <c r="AC2192">
        <v>800</v>
      </c>
      <c r="AD2192">
        <v>10000</v>
      </c>
      <c r="AE2192">
        <v>7735.7488928826033</v>
      </c>
      <c r="AF2192">
        <v>10000</v>
      </c>
      <c r="AG2192">
        <v>1000</v>
      </c>
      <c r="AH2192">
        <v>13000</v>
      </c>
      <c r="AI2192">
        <v>15461.59909415423</v>
      </c>
      <c r="AJ2192">
        <v>20000</v>
      </c>
      <c r="AK2192">
        <v>4000</v>
      </c>
      <c r="AL2192">
        <v>30000</v>
      </c>
      <c r="AQ2192">
        <v>4696.1922640333914</v>
      </c>
      <c r="AR2192">
        <v>4000</v>
      </c>
      <c r="AS2192">
        <v>1000</v>
      </c>
      <c r="AT2192">
        <v>10000</v>
      </c>
      <c r="BC2192">
        <v>1317</v>
      </c>
    </row>
    <row r="2193" spans="1:56" x14ac:dyDescent="0.25">
      <c r="A2193" t="s">
        <v>204</v>
      </c>
      <c r="B2193" t="s">
        <v>204</v>
      </c>
      <c r="C2193">
        <v>27760.430189018589</v>
      </c>
      <c r="D2193">
        <v>24000</v>
      </c>
      <c r="E2193">
        <v>1600</v>
      </c>
      <c r="F2193">
        <v>250000</v>
      </c>
      <c r="G2193">
        <v>12484.28291195645</v>
      </c>
      <c r="H2193">
        <v>10000</v>
      </c>
      <c r="I2193">
        <v>200</v>
      </c>
      <c r="J2193">
        <v>80000</v>
      </c>
      <c r="K2193">
        <v>44381.753331860098</v>
      </c>
      <c r="L2193">
        <v>35000</v>
      </c>
      <c r="M2193">
        <v>1000</v>
      </c>
      <c r="N2193">
        <v>300000</v>
      </c>
      <c r="O2193">
        <v>5811.6621826015762</v>
      </c>
      <c r="P2193">
        <v>5000</v>
      </c>
      <c r="Q2193">
        <v>300</v>
      </c>
      <c r="R2193">
        <v>40000</v>
      </c>
      <c r="S2193">
        <v>5393.8013120957103</v>
      </c>
      <c r="T2193">
        <v>5000</v>
      </c>
      <c r="U2193">
        <v>2000</v>
      </c>
      <c r="V2193">
        <v>23000</v>
      </c>
      <c r="W2193">
        <v>6672.7898743025871</v>
      </c>
      <c r="X2193">
        <v>5600</v>
      </c>
      <c r="Y2193">
        <v>2300</v>
      </c>
      <c r="Z2193">
        <v>30000</v>
      </c>
      <c r="AA2193">
        <v>4172.6849463924809</v>
      </c>
      <c r="AB2193">
        <v>2315</v>
      </c>
      <c r="AC2193">
        <v>245</v>
      </c>
      <c r="AD2193">
        <v>340000</v>
      </c>
      <c r="AE2193">
        <v>5993.4615293622819</v>
      </c>
      <c r="AF2193">
        <v>6000</v>
      </c>
      <c r="AG2193">
        <v>290</v>
      </c>
      <c r="AH2193">
        <v>55000</v>
      </c>
      <c r="AI2193">
        <v>8410.4932093843672</v>
      </c>
      <c r="AJ2193">
        <v>6000</v>
      </c>
      <c r="AK2193">
        <v>1000</v>
      </c>
      <c r="AL2193">
        <v>60000</v>
      </c>
      <c r="AM2193">
        <v>8092.5418049963882</v>
      </c>
      <c r="AN2193">
        <v>3200</v>
      </c>
      <c r="AO2193">
        <v>200</v>
      </c>
      <c r="AP2193">
        <v>80000</v>
      </c>
      <c r="AQ2193">
        <v>11403.049096979679</v>
      </c>
      <c r="AR2193">
        <v>5000</v>
      </c>
      <c r="AS2193">
        <v>200</v>
      </c>
      <c r="AT2193">
        <v>150000</v>
      </c>
      <c r="AU2193">
        <v>3938.0192406278802</v>
      </c>
      <c r="AV2193">
        <v>3000</v>
      </c>
      <c r="AW2193">
        <v>1500</v>
      </c>
      <c r="AX2193">
        <v>25000</v>
      </c>
      <c r="AY2193">
        <v>16455.56428890652</v>
      </c>
      <c r="AZ2193">
        <v>9000</v>
      </c>
      <c r="BA2193">
        <v>500</v>
      </c>
      <c r="BB2193">
        <v>70000</v>
      </c>
      <c r="BC2193">
        <v>1317</v>
      </c>
    </row>
    <row r="2195" spans="1:56" x14ac:dyDescent="0.25">
      <c r="A2195" t="s">
        <v>660</v>
      </c>
    </row>
    <row r="2196" spans="1:56" x14ac:dyDescent="0.25">
      <c r="A2196" t="s">
        <v>189</v>
      </c>
      <c r="B2196" t="s">
        <v>190</v>
      </c>
      <c r="C2196" t="s">
        <v>206</v>
      </c>
      <c r="D2196" t="s">
        <v>608</v>
      </c>
      <c r="E2196" t="s">
        <v>609</v>
      </c>
      <c r="F2196" t="s">
        <v>610</v>
      </c>
      <c r="G2196" t="s">
        <v>611</v>
      </c>
      <c r="H2196" t="s">
        <v>612</v>
      </c>
      <c r="I2196" t="s">
        <v>613</v>
      </c>
      <c r="J2196" t="s">
        <v>614</v>
      </c>
      <c r="K2196" t="s">
        <v>615</v>
      </c>
      <c r="L2196" t="s">
        <v>616</v>
      </c>
      <c r="M2196" t="s">
        <v>617</v>
      </c>
      <c r="N2196" t="s">
        <v>618</v>
      </c>
      <c r="O2196" t="s">
        <v>619</v>
      </c>
      <c r="P2196" t="s">
        <v>620</v>
      </c>
      <c r="Q2196" t="s">
        <v>621</v>
      </c>
      <c r="R2196" t="s">
        <v>622</v>
      </c>
      <c r="S2196" t="s">
        <v>623</v>
      </c>
      <c r="T2196" t="s">
        <v>624</v>
      </c>
      <c r="U2196" t="s">
        <v>625</v>
      </c>
      <c r="V2196" t="s">
        <v>626</v>
      </c>
      <c r="W2196" t="s">
        <v>627</v>
      </c>
      <c r="X2196" t="s">
        <v>628</v>
      </c>
      <c r="Y2196" t="s">
        <v>629</v>
      </c>
      <c r="Z2196" t="s">
        <v>630</v>
      </c>
      <c r="AA2196" t="s">
        <v>631</v>
      </c>
      <c r="AB2196" t="s">
        <v>632</v>
      </c>
      <c r="AC2196" t="s">
        <v>633</v>
      </c>
      <c r="AD2196" t="s">
        <v>634</v>
      </c>
      <c r="AE2196" t="s">
        <v>635</v>
      </c>
      <c r="AF2196" t="s">
        <v>636</v>
      </c>
      <c r="AG2196" t="s">
        <v>637</v>
      </c>
      <c r="AH2196" t="s">
        <v>638</v>
      </c>
      <c r="AI2196" t="s">
        <v>639</v>
      </c>
      <c r="AJ2196" t="s">
        <v>640</v>
      </c>
      <c r="AK2196" t="s">
        <v>641</v>
      </c>
      <c r="AL2196" t="s">
        <v>642</v>
      </c>
      <c r="AM2196" t="s">
        <v>643</v>
      </c>
      <c r="AN2196" t="s">
        <v>644</v>
      </c>
      <c r="AO2196" t="s">
        <v>645</v>
      </c>
      <c r="AP2196" t="s">
        <v>646</v>
      </c>
      <c r="AQ2196" t="s">
        <v>647</v>
      </c>
      <c r="AR2196" t="s">
        <v>648</v>
      </c>
      <c r="AS2196" t="s">
        <v>649</v>
      </c>
      <c r="AT2196" t="s">
        <v>650</v>
      </c>
      <c r="AU2196" t="s">
        <v>651</v>
      </c>
      <c r="AV2196" t="s">
        <v>652</v>
      </c>
      <c r="AW2196" t="s">
        <v>653</v>
      </c>
      <c r="AX2196" t="s">
        <v>654</v>
      </c>
      <c r="AY2196" t="s">
        <v>655</v>
      </c>
      <c r="AZ2196" t="s">
        <v>656</v>
      </c>
      <c r="BA2196" t="s">
        <v>657</v>
      </c>
      <c r="BB2196" t="s">
        <v>658</v>
      </c>
      <c r="BC2196" t="s">
        <v>659</v>
      </c>
      <c r="BD2196" t="s">
        <v>196</v>
      </c>
    </row>
    <row r="2197" spans="1:56" x14ac:dyDescent="0.25">
      <c r="A2197" t="s">
        <v>197</v>
      </c>
      <c r="B2197" t="s">
        <v>198</v>
      </c>
      <c r="C2197" t="s">
        <v>228</v>
      </c>
      <c r="D2197">
        <v>17421.3651783395</v>
      </c>
      <c r="E2197">
        <v>13000</v>
      </c>
      <c r="F2197">
        <v>8000</v>
      </c>
      <c r="G2197">
        <v>40000</v>
      </c>
      <c r="H2197">
        <v>5377.9840322216078</v>
      </c>
      <c r="I2197">
        <v>10000</v>
      </c>
      <c r="J2197">
        <v>300</v>
      </c>
      <c r="K2197">
        <v>10000</v>
      </c>
      <c r="T2197">
        <v>5369.1715345028306</v>
      </c>
      <c r="U2197">
        <v>5000</v>
      </c>
      <c r="V2197">
        <v>2000</v>
      </c>
      <c r="W2197">
        <v>14000</v>
      </c>
      <c r="X2197">
        <v>10940.487143352761</v>
      </c>
      <c r="Y2197">
        <v>12000</v>
      </c>
      <c r="Z2197">
        <v>3000</v>
      </c>
      <c r="AA2197">
        <v>22000</v>
      </c>
      <c r="AB2197">
        <v>9386.7711228324915</v>
      </c>
      <c r="AC2197">
        <v>10000</v>
      </c>
      <c r="AD2197">
        <v>300</v>
      </c>
      <c r="AE2197">
        <v>19000</v>
      </c>
      <c r="AR2197">
        <v>5000</v>
      </c>
      <c r="AS2197">
        <v>5000</v>
      </c>
      <c r="AT2197">
        <v>5000</v>
      </c>
      <c r="AU2197">
        <v>5000</v>
      </c>
      <c r="AV2197">
        <v>3000</v>
      </c>
      <c r="AW2197">
        <v>3000</v>
      </c>
      <c r="AX2197">
        <v>3000</v>
      </c>
      <c r="AY2197">
        <v>3000</v>
      </c>
      <c r="BD2197">
        <v>1317</v>
      </c>
    </row>
    <row r="2198" spans="1:56" x14ac:dyDescent="0.25">
      <c r="A2198" t="s">
        <v>197</v>
      </c>
      <c r="B2198" t="s">
        <v>198</v>
      </c>
      <c r="C2198" t="s">
        <v>229</v>
      </c>
      <c r="D2198">
        <v>18323.44674648334</v>
      </c>
      <c r="E2198">
        <v>13000</v>
      </c>
      <c r="F2198">
        <v>6200</v>
      </c>
      <c r="G2198">
        <v>60000</v>
      </c>
      <c r="H2198">
        <v>10367.44090720362</v>
      </c>
      <c r="I2198">
        <v>6100</v>
      </c>
      <c r="J2198">
        <v>2000</v>
      </c>
      <c r="K2198">
        <v>35000</v>
      </c>
      <c r="T2198">
        <v>5032.102723498524</v>
      </c>
      <c r="U2198">
        <v>5000</v>
      </c>
      <c r="V2198">
        <v>2000</v>
      </c>
      <c r="W2198">
        <v>11000</v>
      </c>
      <c r="X2198">
        <v>4595.0881219148059</v>
      </c>
      <c r="Y2198">
        <v>3700</v>
      </c>
      <c r="Z2198">
        <v>2400</v>
      </c>
      <c r="AA2198">
        <v>10000</v>
      </c>
      <c r="AB2198">
        <v>5409.4432962573119</v>
      </c>
      <c r="AC2198">
        <v>5000</v>
      </c>
      <c r="AD2198">
        <v>1500</v>
      </c>
      <c r="AE2198">
        <v>11200</v>
      </c>
      <c r="AJ2198">
        <v>4981.8378482748303</v>
      </c>
      <c r="AK2198">
        <v>6000</v>
      </c>
      <c r="AL2198">
        <v>1000</v>
      </c>
      <c r="AM2198">
        <v>10000</v>
      </c>
      <c r="AN2198">
        <v>30000</v>
      </c>
      <c r="AO2198">
        <v>30000</v>
      </c>
      <c r="AP2198">
        <v>30000</v>
      </c>
      <c r="AQ2198">
        <v>30000</v>
      </c>
      <c r="AR2198">
        <v>10500</v>
      </c>
      <c r="AS2198">
        <v>6000</v>
      </c>
      <c r="AT2198">
        <v>6000</v>
      </c>
      <c r="AU2198">
        <v>15000</v>
      </c>
      <c r="BD2198">
        <v>1317</v>
      </c>
    </row>
    <row r="2199" spans="1:56" x14ac:dyDescent="0.25">
      <c r="A2199" t="s">
        <v>199</v>
      </c>
      <c r="B2199" t="s">
        <v>198</v>
      </c>
      <c r="C2199" t="s">
        <v>228</v>
      </c>
      <c r="D2199">
        <v>22713.650244475299</v>
      </c>
      <c r="E2199">
        <v>12000</v>
      </c>
      <c r="F2199">
        <v>2500</v>
      </c>
      <c r="G2199">
        <v>100000</v>
      </c>
      <c r="H2199">
        <v>8277.0583839768369</v>
      </c>
      <c r="I2199">
        <v>8000</v>
      </c>
      <c r="J2199">
        <v>200</v>
      </c>
      <c r="K2199">
        <v>11000</v>
      </c>
      <c r="L2199">
        <v>9000</v>
      </c>
      <c r="M2199">
        <v>9000</v>
      </c>
      <c r="N2199">
        <v>9000</v>
      </c>
      <c r="O2199">
        <v>9000</v>
      </c>
      <c r="P2199">
        <v>2598.9379577585828</v>
      </c>
      <c r="Q2199">
        <v>5000</v>
      </c>
      <c r="R2199">
        <v>500</v>
      </c>
      <c r="S2199">
        <v>15000</v>
      </c>
      <c r="T2199">
        <v>5862.2702169834738</v>
      </c>
      <c r="U2199">
        <v>5000</v>
      </c>
      <c r="V2199">
        <v>2000</v>
      </c>
      <c r="W2199">
        <v>15000</v>
      </c>
      <c r="X2199">
        <v>5519.0701790926023</v>
      </c>
      <c r="Y2199">
        <v>4400</v>
      </c>
      <c r="Z2199">
        <v>2300</v>
      </c>
      <c r="AA2199">
        <v>21500</v>
      </c>
      <c r="AB2199">
        <v>13681.552193559521</v>
      </c>
      <c r="AC2199">
        <v>2300</v>
      </c>
      <c r="AD2199">
        <v>500</v>
      </c>
      <c r="AE2199">
        <v>340000</v>
      </c>
      <c r="AF2199">
        <v>5000</v>
      </c>
      <c r="AG2199">
        <v>5000</v>
      </c>
      <c r="AH2199">
        <v>5000</v>
      </c>
      <c r="AI2199">
        <v>5000</v>
      </c>
      <c r="AJ2199">
        <v>6837.848719805238</v>
      </c>
      <c r="AK2199">
        <v>8000</v>
      </c>
      <c r="AL2199">
        <v>5000</v>
      </c>
      <c r="AM2199">
        <v>8000</v>
      </c>
      <c r="AN2199">
        <v>10191.852424253921</v>
      </c>
      <c r="AO2199">
        <v>8800</v>
      </c>
      <c r="AP2199">
        <v>3000</v>
      </c>
      <c r="AQ2199">
        <v>73000</v>
      </c>
      <c r="AR2199">
        <v>3247.54519650665</v>
      </c>
      <c r="AS2199">
        <v>2000</v>
      </c>
      <c r="AT2199">
        <v>2000</v>
      </c>
      <c r="AU2199">
        <v>10000</v>
      </c>
      <c r="AZ2199">
        <v>7453.8984344435303</v>
      </c>
      <c r="BA2199">
        <v>10000</v>
      </c>
      <c r="BB2199">
        <v>1600</v>
      </c>
      <c r="BC2199">
        <v>10000</v>
      </c>
      <c r="BD2199">
        <v>1317</v>
      </c>
    </row>
    <row r="2200" spans="1:56" x14ac:dyDescent="0.25">
      <c r="A2200" t="s">
        <v>199</v>
      </c>
      <c r="B2200" t="s">
        <v>198</v>
      </c>
      <c r="C2200" t="s">
        <v>229</v>
      </c>
      <c r="D2200">
        <v>21614.324018234729</v>
      </c>
      <c r="E2200">
        <v>16000</v>
      </c>
      <c r="F2200">
        <v>1600</v>
      </c>
      <c r="G2200">
        <v>80000</v>
      </c>
      <c r="H2200">
        <v>10266.36611724765</v>
      </c>
      <c r="I2200">
        <v>7000</v>
      </c>
      <c r="J2200">
        <v>800</v>
      </c>
      <c r="K2200">
        <v>37000</v>
      </c>
      <c r="L2200">
        <v>11999.26377161343</v>
      </c>
      <c r="M2200">
        <v>15000</v>
      </c>
      <c r="N2200">
        <v>8000</v>
      </c>
      <c r="O2200">
        <v>22000</v>
      </c>
      <c r="P2200">
        <v>5369.1979989717847</v>
      </c>
      <c r="Q2200">
        <v>5000</v>
      </c>
      <c r="R2200">
        <v>5000</v>
      </c>
      <c r="S2200">
        <v>13000</v>
      </c>
      <c r="T2200">
        <v>5481.6626859077987</v>
      </c>
      <c r="U2200">
        <v>5000</v>
      </c>
      <c r="V2200">
        <v>2000</v>
      </c>
      <c r="W2200">
        <v>17000</v>
      </c>
      <c r="X2200">
        <v>7440.6651934566326</v>
      </c>
      <c r="Y2200">
        <v>7680</v>
      </c>
      <c r="Z2200">
        <v>2300</v>
      </c>
      <c r="AA2200">
        <v>20000</v>
      </c>
      <c r="AB2200">
        <v>4041.5729132364459</v>
      </c>
      <c r="AC2200">
        <v>2900</v>
      </c>
      <c r="AD2200">
        <v>850</v>
      </c>
      <c r="AE2200">
        <v>23000</v>
      </c>
      <c r="AF2200">
        <v>375</v>
      </c>
      <c r="AG2200">
        <v>375</v>
      </c>
      <c r="AH2200">
        <v>375</v>
      </c>
      <c r="AI2200">
        <v>375</v>
      </c>
      <c r="AJ2200">
        <v>4129.4219100536648</v>
      </c>
      <c r="AK2200">
        <v>3000</v>
      </c>
      <c r="AL2200">
        <v>1000</v>
      </c>
      <c r="AM2200">
        <v>8000</v>
      </c>
      <c r="AN2200">
        <v>3875.7996543895192</v>
      </c>
      <c r="AO2200">
        <v>1000</v>
      </c>
      <c r="AP2200">
        <v>300</v>
      </c>
      <c r="AQ2200">
        <v>42000</v>
      </c>
      <c r="AR2200">
        <v>6081.0078277840321</v>
      </c>
      <c r="AS2200">
        <v>10000</v>
      </c>
      <c r="AT2200">
        <v>2000</v>
      </c>
      <c r="AU2200">
        <v>18000</v>
      </c>
      <c r="AV2200">
        <v>3176.4875157670758</v>
      </c>
      <c r="AW2200">
        <v>1500</v>
      </c>
      <c r="AX2200">
        <v>1500</v>
      </c>
      <c r="AY2200">
        <v>6600</v>
      </c>
      <c r="AZ2200">
        <v>9027.5710612068924</v>
      </c>
      <c r="BA2200">
        <v>30000</v>
      </c>
      <c r="BB2200">
        <v>1400</v>
      </c>
      <c r="BC2200">
        <v>30000</v>
      </c>
      <c r="BD2200">
        <v>1317</v>
      </c>
    </row>
    <row r="2201" spans="1:56" x14ac:dyDescent="0.25">
      <c r="A2201" t="s">
        <v>200</v>
      </c>
      <c r="B2201" t="s">
        <v>198</v>
      </c>
      <c r="C2201" t="s">
        <v>228</v>
      </c>
      <c r="D2201">
        <v>27472.52637060421</v>
      </c>
      <c r="E2201">
        <v>24000</v>
      </c>
      <c r="F2201">
        <v>1600</v>
      </c>
      <c r="G2201">
        <v>97000</v>
      </c>
      <c r="H2201">
        <v>8885.970857943501</v>
      </c>
      <c r="I2201">
        <v>9000</v>
      </c>
      <c r="J2201">
        <v>200</v>
      </c>
      <c r="K2201">
        <v>23400</v>
      </c>
      <c r="L2201">
        <v>45248.08300030954</v>
      </c>
      <c r="M2201">
        <v>50000</v>
      </c>
      <c r="N2201">
        <v>30000</v>
      </c>
      <c r="O2201">
        <v>50000</v>
      </c>
      <c r="P2201">
        <v>3687.709411862395</v>
      </c>
      <c r="Q2201">
        <v>3000</v>
      </c>
      <c r="R2201">
        <v>2000</v>
      </c>
      <c r="S2201">
        <v>6000</v>
      </c>
      <c r="T2201">
        <v>5897.2464934314257</v>
      </c>
      <c r="U2201">
        <v>5000</v>
      </c>
      <c r="V2201">
        <v>2000</v>
      </c>
      <c r="W2201">
        <v>19000</v>
      </c>
      <c r="X2201">
        <v>6643.1685966849809</v>
      </c>
      <c r="Y2201">
        <v>5600</v>
      </c>
      <c r="Z2201">
        <v>2300</v>
      </c>
      <c r="AA2201">
        <v>16000</v>
      </c>
      <c r="AB2201">
        <v>3988.17068067542</v>
      </c>
      <c r="AC2201">
        <v>3000</v>
      </c>
      <c r="AD2201">
        <v>860</v>
      </c>
      <c r="AE2201">
        <v>15900</v>
      </c>
      <c r="AF2201">
        <v>1500</v>
      </c>
      <c r="AG2201">
        <v>1500</v>
      </c>
      <c r="AH2201">
        <v>1500</v>
      </c>
      <c r="AI2201">
        <v>1500</v>
      </c>
      <c r="AJ2201">
        <v>2500</v>
      </c>
      <c r="AK2201">
        <v>2500</v>
      </c>
      <c r="AL2201">
        <v>2500</v>
      </c>
      <c r="AM2201">
        <v>2500</v>
      </c>
      <c r="AR2201">
        <v>3762.513133234102</v>
      </c>
      <c r="AS2201">
        <v>2000</v>
      </c>
      <c r="AT2201">
        <v>1000</v>
      </c>
      <c r="AU2201">
        <v>10000</v>
      </c>
      <c r="AV2201">
        <v>4000</v>
      </c>
      <c r="AW2201">
        <v>4000</v>
      </c>
      <c r="AX2201">
        <v>4000</v>
      </c>
      <c r="AY2201">
        <v>4000</v>
      </c>
      <c r="BD2201">
        <v>1317</v>
      </c>
    </row>
    <row r="2202" spans="1:56" x14ac:dyDescent="0.25">
      <c r="A2202" t="s">
        <v>200</v>
      </c>
      <c r="B2202" t="s">
        <v>198</v>
      </c>
      <c r="C2202" t="s">
        <v>229</v>
      </c>
      <c r="D2202">
        <v>27011.9522321125</v>
      </c>
      <c r="E2202">
        <v>24000</v>
      </c>
      <c r="F2202">
        <v>3000</v>
      </c>
      <c r="G2202">
        <v>100000</v>
      </c>
      <c r="H2202">
        <v>10258.143163373999</v>
      </c>
      <c r="I2202">
        <v>10000</v>
      </c>
      <c r="J2202">
        <v>800</v>
      </c>
      <c r="K2202">
        <v>28000</v>
      </c>
      <c r="L2202">
        <v>37419.860065301124</v>
      </c>
      <c r="M2202">
        <v>40000</v>
      </c>
      <c r="N2202">
        <v>4000</v>
      </c>
      <c r="O2202">
        <v>60000</v>
      </c>
      <c r="P2202">
        <v>13235.24646885561</v>
      </c>
      <c r="Q2202">
        <v>15000</v>
      </c>
      <c r="R2202">
        <v>7000</v>
      </c>
      <c r="S2202">
        <v>15000</v>
      </c>
      <c r="T2202">
        <v>5163.4968688587242</v>
      </c>
      <c r="U2202">
        <v>4000</v>
      </c>
      <c r="V2202">
        <v>2000</v>
      </c>
      <c r="W2202">
        <v>23000</v>
      </c>
      <c r="X2202">
        <v>6656.008529734826</v>
      </c>
      <c r="Y2202">
        <v>5000</v>
      </c>
      <c r="Z2202">
        <v>2300</v>
      </c>
      <c r="AA2202">
        <v>30000</v>
      </c>
      <c r="AB2202">
        <v>2973.0629004030739</v>
      </c>
      <c r="AC2202">
        <v>2700</v>
      </c>
      <c r="AD2202">
        <v>340</v>
      </c>
      <c r="AE2202">
        <v>10600</v>
      </c>
      <c r="AJ2202">
        <v>13099.97719938316</v>
      </c>
      <c r="AK2202">
        <v>10000</v>
      </c>
      <c r="AL2202">
        <v>2000</v>
      </c>
      <c r="AM2202">
        <v>40000</v>
      </c>
      <c r="AN2202">
        <v>10720.09914402221</v>
      </c>
      <c r="AO2202">
        <v>10800</v>
      </c>
      <c r="AP2202">
        <v>10600</v>
      </c>
      <c r="AQ2202">
        <v>10800</v>
      </c>
      <c r="AR2202">
        <v>13737.40832664524</v>
      </c>
      <c r="AS2202">
        <v>8000</v>
      </c>
      <c r="AT2202">
        <v>700</v>
      </c>
      <c r="AU2202">
        <v>50000</v>
      </c>
      <c r="AV2202">
        <v>2000</v>
      </c>
      <c r="AW2202">
        <v>2000</v>
      </c>
      <c r="AX2202">
        <v>2000</v>
      </c>
      <c r="AY2202">
        <v>2000</v>
      </c>
      <c r="AZ2202">
        <v>34182.052735566424</v>
      </c>
      <c r="BA2202">
        <v>50000</v>
      </c>
      <c r="BB2202">
        <v>2000</v>
      </c>
      <c r="BC2202">
        <v>50000</v>
      </c>
      <c r="BD2202">
        <v>1317</v>
      </c>
    </row>
    <row r="2203" spans="1:56" x14ac:dyDescent="0.25">
      <c r="A2203" t="s">
        <v>201</v>
      </c>
      <c r="B2203" t="s">
        <v>198</v>
      </c>
      <c r="C2203" t="s">
        <v>228</v>
      </c>
      <c r="D2203">
        <v>19121.499175814391</v>
      </c>
      <c r="E2203">
        <v>15000</v>
      </c>
      <c r="F2203">
        <v>2000</v>
      </c>
      <c r="G2203">
        <v>55000</v>
      </c>
      <c r="H2203">
        <v>8913.7520470926502</v>
      </c>
      <c r="I2203">
        <v>6000</v>
      </c>
      <c r="J2203">
        <v>1300</v>
      </c>
      <c r="K2203">
        <v>20000</v>
      </c>
      <c r="L2203">
        <v>9771.6712082807535</v>
      </c>
      <c r="M2203">
        <v>10000</v>
      </c>
      <c r="N2203">
        <v>3000</v>
      </c>
      <c r="O2203">
        <v>10000</v>
      </c>
      <c r="P2203">
        <v>3738.9451033948758</v>
      </c>
      <c r="Q2203">
        <v>4000</v>
      </c>
      <c r="R2203">
        <v>2500</v>
      </c>
      <c r="S2203">
        <v>7000</v>
      </c>
      <c r="T2203">
        <v>5353.9182927037373</v>
      </c>
      <c r="U2203">
        <v>5000</v>
      </c>
      <c r="V2203">
        <v>2000</v>
      </c>
      <c r="W2203">
        <v>16000</v>
      </c>
      <c r="X2203">
        <v>5281.8534549475607</v>
      </c>
      <c r="Y2203">
        <v>3800</v>
      </c>
      <c r="Z2203">
        <v>2300</v>
      </c>
      <c r="AA2203">
        <v>14000</v>
      </c>
      <c r="AB2203">
        <v>4352.5924025132808</v>
      </c>
      <c r="AC2203">
        <v>2900</v>
      </c>
      <c r="AD2203">
        <v>800</v>
      </c>
      <c r="AE2203">
        <v>20000</v>
      </c>
      <c r="AN2203">
        <v>7628.5504638849452</v>
      </c>
      <c r="AO2203">
        <v>12000</v>
      </c>
      <c r="AP2203">
        <v>600</v>
      </c>
      <c r="AQ2203">
        <v>17000</v>
      </c>
      <c r="AR2203">
        <v>5821.0916620986236</v>
      </c>
      <c r="AS2203">
        <v>6000</v>
      </c>
      <c r="AT2203">
        <v>1500</v>
      </c>
      <c r="AU2203">
        <v>38000</v>
      </c>
      <c r="BD2203">
        <v>1317</v>
      </c>
    </row>
    <row r="2204" spans="1:56" x14ac:dyDescent="0.25">
      <c r="A2204" t="s">
        <v>201</v>
      </c>
      <c r="B2204" t="s">
        <v>198</v>
      </c>
      <c r="C2204" t="s">
        <v>229</v>
      </c>
      <c r="D2204">
        <v>21667.534318339669</v>
      </c>
      <c r="E2204">
        <v>20000</v>
      </c>
      <c r="F2204">
        <v>3500</v>
      </c>
      <c r="G2204">
        <v>66000</v>
      </c>
      <c r="H2204">
        <v>10080.7801382958</v>
      </c>
      <c r="I2204">
        <v>5000</v>
      </c>
      <c r="J2204">
        <v>500</v>
      </c>
      <c r="K2204">
        <v>45000</v>
      </c>
      <c r="L2204">
        <v>12390.38865830682</v>
      </c>
      <c r="M2204">
        <v>15000</v>
      </c>
      <c r="N2204">
        <v>10000</v>
      </c>
      <c r="O2204">
        <v>20000</v>
      </c>
      <c r="T2204">
        <v>5308.6821992672894</v>
      </c>
      <c r="U2204">
        <v>5000</v>
      </c>
      <c r="V2204">
        <v>2000</v>
      </c>
      <c r="W2204">
        <v>16000</v>
      </c>
      <c r="X2204">
        <v>5387.128523821686</v>
      </c>
      <c r="Y2204">
        <v>5500</v>
      </c>
      <c r="Z2204">
        <v>2300</v>
      </c>
      <c r="AA2204">
        <v>10000</v>
      </c>
      <c r="AB2204">
        <v>3773.2030900233431</v>
      </c>
      <c r="AC2204">
        <v>2800</v>
      </c>
      <c r="AD2204">
        <v>860</v>
      </c>
      <c r="AE2204">
        <v>11000</v>
      </c>
      <c r="AJ2204">
        <v>8591.393856474182</v>
      </c>
      <c r="AK2204">
        <v>10000</v>
      </c>
      <c r="AL2204">
        <v>2000</v>
      </c>
      <c r="AM2204">
        <v>17000</v>
      </c>
      <c r="AN2204">
        <v>2757.553201297636</v>
      </c>
      <c r="AO2204">
        <v>6400</v>
      </c>
      <c r="AP2204">
        <v>500</v>
      </c>
      <c r="AQ2204">
        <v>21600</v>
      </c>
      <c r="AR2204">
        <v>6949.7455015913974</v>
      </c>
      <c r="AS2204">
        <v>6000</v>
      </c>
      <c r="AT2204">
        <v>2000</v>
      </c>
      <c r="AU2204">
        <v>20000</v>
      </c>
      <c r="AV2204">
        <v>3000</v>
      </c>
      <c r="AW2204">
        <v>3000</v>
      </c>
      <c r="AX2204">
        <v>3000</v>
      </c>
      <c r="AY2204">
        <v>3000</v>
      </c>
      <c r="BD2204">
        <v>1317</v>
      </c>
    </row>
    <row r="2205" spans="1:56" x14ac:dyDescent="0.25">
      <c r="A2205" t="s">
        <v>202</v>
      </c>
      <c r="B2205" t="s">
        <v>198</v>
      </c>
      <c r="C2205" t="s">
        <v>228</v>
      </c>
      <c r="D2205">
        <v>10980.52906478061</v>
      </c>
      <c r="E2205">
        <v>11000</v>
      </c>
      <c r="F2205">
        <v>3500</v>
      </c>
      <c r="G2205">
        <v>20000</v>
      </c>
      <c r="H2205">
        <v>18385.8206233325</v>
      </c>
      <c r="I2205">
        <v>40000</v>
      </c>
      <c r="J2205">
        <v>2700</v>
      </c>
      <c r="K2205">
        <v>40000</v>
      </c>
      <c r="P2205">
        <v>3000</v>
      </c>
      <c r="Q2205">
        <v>3000</v>
      </c>
      <c r="R2205">
        <v>3000</v>
      </c>
      <c r="S2205">
        <v>3000</v>
      </c>
      <c r="T2205">
        <v>5652.5267033275113</v>
      </c>
      <c r="U2205">
        <v>5000</v>
      </c>
      <c r="V2205">
        <v>2000</v>
      </c>
      <c r="W2205">
        <v>20000</v>
      </c>
      <c r="X2205">
        <v>4170.3790755982945</v>
      </c>
      <c r="Y2205">
        <v>3900</v>
      </c>
      <c r="Z2205">
        <v>2500</v>
      </c>
      <c r="AA2205">
        <v>16000</v>
      </c>
      <c r="AB2205">
        <v>5085.0128507774571</v>
      </c>
      <c r="AC2205">
        <v>9000</v>
      </c>
      <c r="AD2205">
        <v>1200</v>
      </c>
      <c r="AE2205">
        <v>9000</v>
      </c>
      <c r="AJ2205">
        <v>4000</v>
      </c>
      <c r="AK2205">
        <v>4000</v>
      </c>
      <c r="AL2205">
        <v>4000</v>
      </c>
      <c r="AM2205">
        <v>4000</v>
      </c>
      <c r="AN2205">
        <v>1750</v>
      </c>
      <c r="AO2205">
        <v>1500</v>
      </c>
      <c r="AP2205">
        <v>1500</v>
      </c>
      <c r="AQ2205">
        <v>2000</v>
      </c>
      <c r="AR2205">
        <v>4947.0769384281384</v>
      </c>
      <c r="AS2205">
        <v>10000</v>
      </c>
      <c r="AT2205">
        <v>200</v>
      </c>
      <c r="AU2205">
        <v>10000</v>
      </c>
      <c r="BD2205">
        <v>1317</v>
      </c>
    </row>
    <row r="2206" spans="1:56" x14ac:dyDescent="0.25">
      <c r="A2206" t="s">
        <v>202</v>
      </c>
      <c r="B2206" t="s">
        <v>198</v>
      </c>
      <c r="C2206" t="s">
        <v>229</v>
      </c>
      <c r="D2206">
        <v>19895.079590137611</v>
      </c>
      <c r="E2206">
        <v>20000</v>
      </c>
      <c r="F2206">
        <v>5000</v>
      </c>
      <c r="G2206">
        <v>50000</v>
      </c>
      <c r="H2206">
        <v>18307.955658641709</v>
      </c>
      <c r="I2206">
        <v>24000</v>
      </c>
      <c r="J2206">
        <v>4000</v>
      </c>
      <c r="K2206">
        <v>24000</v>
      </c>
      <c r="T2206">
        <v>5485.0766379276556</v>
      </c>
      <c r="U2206">
        <v>5000</v>
      </c>
      <c r="V2206">
        <v>2000</v>
      </c>
      <c r="W2206">
        <v>21000</v>
      </c>
      <c r="X2206">
        <v>7383.7725088296083</v>
      </c>
      <c r="Y2206">
        <v>7500</v>
      </c>
      <c r="Z2206">
        <v>2500</v>
      </c>
      <c r="AA2206">
        <v>17000</v>
      </c>
      <c r="AB2206">
        <v>5282.3039089174781</v>
      </c>
      <c r="AC2206">
        <v>2300</v>
      </c>
      <c r="AD2206">
        <v>800</v>
      </c>
      <c r="AE2206">
        <v>28000</v>
      </c>
      <c r="AN2206">
        <v>8255.1261065519284</v>
      </c>
      <c r="AO2206">
        <v>3200</v>
      </c>
      <c r="AP2206">
        <v>3000</v>
      </c>
      <c r="AQ2206">
        <v>33000</v>
      </c>
      <c r="AR2206">
        <v>44829.203347760587</v>
      </c>
      <c r="AS2206">
        <v>30000</v>
      </c>
      <c r="AT2206">
        <v>5000</v>
      </c>
      <c r="AU2206">
        <v>150000</v>
      </c>
      <c r="BD2206">
        <v>1317</v>
      </c>
    </row>
    <row r="2207" spans="1:56" x14ac:dyDescent="0.25">
      <c r="A2207" t="s">
        <v>199</v>
      </c>
      <c r="B2207" t="s">
        <v>203</v>
      </c>
      <c r="C2207" t="s">
        <v>228</v>
      </c>
      <c r="D2207">
        <v>17085.6647240975</v>
      </c>
      <c r="E2207">
        <v>13000</v>
      </c>
      <c r="F2207">
        <v>2000</v>
      </c>
      <c r="G2207">
        <v>120000</v>
      </c>
      <c r="H2207">
        <v>8176.711426242462</v>
      </c>
      <c r="I2207">
        <v>7000</v>
      </c>
      <c r="J2207">
        <v>500</v>
      </c>
      <c r="K2207">
        <v>30000</v>
      </c>
      <c r="L2207">
        <v>55475.619782173351</v>
      </c>
      <c r="M2207">
        <v>60000</v>
      </c>
      <c r="N2207">
        <v>2100</v>
      </c>
      <c r="O2207">
        <v>60000</v>
      </c>
      <c r="P2207">
        <v>4101.0669646436281</v>
      </c>
      <c r="Q2207">
        <v>3000</v>
      </c>
      <c r="R2207">
        <v>500</v>
      </c>
      <c r="S2207">
        <v>20000</v>
      </c>
      <c r="T2207">
        <v>3226.480590993197</v>
      </c>
      <c r="U2207">
        <v>3000</v>
      </c>
      <c r="V2207">
        <v>2000</v>
      </c>
      <c r="W2207">
        <v>8000</v>
      </c>
      <c r="X2207">
        <v>5168.3541863432556</v>
      </c>
      <c r="Y2207">
        <v>3500</v>
      </c>
      <c r="Z2207">
        <v>2300</v>
      </c>
      <c r="AA2207">
        <v>15000</v>
      </c>
      <c r="AB2207">
        <v>5248.107061009172</v>
      </c>
      <c r="AC2207">
        <v>3200</v>
      </c>
      <c r="AD2207">
        <v>1500</v>
      </c>
      <c r="AE2207">
        <v>22000</v>
      </c>
      <c r="AF2207">
        <v>961.99646001451492</v>
      </c>
      <c r="AG2207">
        <v>417</v>
      </c>
      <c r="AH2207">
        <v>417</v>
      </c>
      <c r="AI2207">
        <v>10000</v>
      </c>
      <c r="AJ2207">
        <v>8260.1714430453758</v>
      </c>
      <c r="AK2207">
        <v>10000</v>
      </c>
      <c r="AL2207">
        <v>2000</v>
      </c>
      <c r="AM2207">
        <v>10000</v>
      </c>
      <c r="AN2207">
        <v>10072.133635524309</v>
      </c>
      <c r="AO2207">
        <v>15000</v>
      </c>
      <c r="AP2207">
        <v>500</v>
      </c>
      <c r="AQ2207">
        <v>20000</v>
      </c>
      <c r="AR2207">
        <v>5161.1362499196694</v>
      </c>
      <c r="AS2207">
        <v>7000</v>
      </c>
      <c r="AT2207">
        <v>2000</v>
      </c>
      <c r="AU2207">
        <v>10000</v>
      </c>
      <c r="AV2207">
        <v>3000</v>
      </c>
      <c r="AW2207">
        <v>3000</v>
      </c>
      <c r="AX2207">
        <v>3000</v>
      </c>
      <c r="AY2207">
        <v>3000</v>
      </c>
      <c r="AZ2207">
        <v>6753.6585326599479</v>
      </c>
      <c r="BA2207">
        <v>10000</v>
      </c>
      <c r="BB2207">
        <v>1000</v>
      </c>
      <c r="BC2207">
        <v>10000</v>
      </c>
      <c r="BD2207">
        <v>1317</v>
      </c>
    </row>
    <row r="2208" spans="1:56" x14ac:dyDescent="0.25">
      <c r="A2208" t="s">
        <v>199</v>
      </c>
      <c r="B2208" t="s">
        <v>203</v>
      </c>
      <c r="C2208" t="s">
        <v>229</v>
      </c>
      <c r="D2208">
        <v>23737.643031622501</v>
      </c>
      <c r="E2208">
        <v>24000</v>
      </c>
      <c r="F2208">
        <v>1600</v>
      </c>
      <c r="G2208">
        <v>130000</v>
      </c>
      <c r="H2208">
        <v>11070.62791295287</v>
      </c>
      <c r="I2208">
        <v>8000</v>
      </c>
      <c r="J2208">
        <v>1000</v>
      </c>
      <c r="K2208">
        <v>40000</v>
      </c>
      <c r="L2208">
        <v>69811.227627745116</v>
      </c>
      <c r="M2208">
        <v>25000</v>
      </c>
      <c r="N2208">
        <v>2500</v>
      </c>
      <c r="O2208">
        <v>300000</v>
      </c>
      <c r="P2208">
        <v>5377.3022475156831</v>
      </c>
      <c r="Q2208">
        <v>6000</v>
      </c>
      <c r="R2208">
        <v>2000</v>
      </c>
      <c r="S2208">
        <v>10000</v>
      </c>
      <c r="T2208">
        <v>5519.8698415466051</v>
      </c>
      <c r="U2208">
        <v>4000</v>
      </c>
      <c r="V2208">
        <v>2000</v>
      </c>
      <c r="W2208">
        <v>11000</v>
      </c>
      <c r="X2208">
        <v>7115.3924469962167</v>
      </c>
      <c r="Y2208">
        <v>6200</v>
      </c>
      <c r="Z2208">
        <v>2300</v>
      </c>
      <c r="AA2208">
        <v>30000</v>
      </c>
      <c r="AB2208">
        <v>3582.1127883750928</v>
      </c>
      <c r="AC2208">
        <v>860</v>
      </c>
      <c r="AD2208">
        <v>500</v>
      </c>
      <c r="AE2208">
        <v>40000</v>
      </c>
      <c r="AF2208">
        <v>4882.250667484378</v>
      </c>
      <c r="AG2208">
        <v>5000</v>
      </c>
      <c r="AH2208">
        <v>1500</v>
      </c>
      <c r="AI2208">
        <v>10000</v>
      </c>
      <c r="AJ2208">
        <v>9902.0676808594962</v>
      </c>
      <c r="AK2208">
        <v>15000</v>
      </c>
      <c r="AL2208">
        <v>1500</v>
      </c>
      <c r="AM2208">
        <v>20000</v>
      </c>
      <c r="AN2208">
        <v>8550.4480948383389</v>
      </c>
      <c r="AO2208">
        <v>4500</v>
      </c>
      <c r="AP2208">
        <v>900</v>
      </c>
      <c r="AQ2208">
        <v>63000</v>
      </c>
      <c r="AR2208">
        <v>13764.61319748288</v>
      </c>
      <c r="AS2208">
        <v>3000</v>
      </c>
      <c r="AT2208">
        <v>1000</v>
      </c>
      <c r="AU2208">
        <v>50000</v>
      </c>
      <c r="AZ2208">
        <v>17965.02166218853</v>
      </c>
      <c r="BA2208">
        <v>4000</v>
      </c>
      <c r="BB2208">
        <v>2000</v>
      </c>
      <c r="BC2208">
        <v>70000</v>
      </c>
      <c r="BD2208">
        <v>1317</v>
      </c>
    </row>
    <row r="2209" spans="1:56" x14ac:dyDescent="0.25">
      <c r="A2209" t="s">
        <v>200</v>
      </c>
      <c r="B2209" t="s">
        <v>203</v>
      </c>
      <c r="C2209" t="s">
        <v>228</v>
      </c>
      <c r="D2209">
        <v>34915.507968001402</v>
      </c>
      <c r="E2209">
        <v>30000</v>
      </c>
      <c r="F2209">
        <v>2800</v>
      </c>
      <c r="G2209">
        <v>250000</v>
      </c>
      <c r="H2209">
        <v>19690.52988107923</v>
      </c>
      <c r="I2209">
        <v>15000</v>
      </c>
      <c r="J2209">
        <v>3000</v>
      </c>
      <c r="K2209">
        <v>80000</v>
      </c>
      <c r="L2209">
        <v>46700.491545948127</v>
      </c>
      <c r="M2209">
        <v>70000</v>
      </c>
      <c r="N2209">
        <v>2500</v>
      </c>
      <c r="O2209">
        <v>80000</v>
      </c>
      <c r="P2209">
        <v>11831.221396859881</v>
      </c>
      <c r="Q2209">
        <v>15000</v>
      </c>
      <c r="R2209">
        <v>1000</v>
      </c>
      <c r="S2209">
        <v>15000</v>
      </c>
      <c r="T2209">
        <v>3000</v>
      </c>
      <c r="U2209">
        <v>3000</v>
      </c>
      <c r="V2209">
        <v>3000</v>
      </c>
      <c r="W2209">
        <v>3000</v>
      </c>
      <c r="X2209">
        <v>6541.3262190176483</v>
      </c>
      <c r="Y2209">
        <v>5000</v>
      </c>
      <c r="Z2209">
        <v>2500</v>
      </c>
      <c r="AA2209">
        <v>20000</v>
      </c>
      <c r="AB2209">
        <v>3594.8172234077779</v>
      </c>
      <c r="AC2209">
        <v>2100</v>
      </c>
      <c r="AD2209">
        <v>860</v>
      </c>
      <c r="AE2209">
        <v>22000</v>
      </c>
      <c r="AF2209">
        <v>13038.22667743903</v>
      </c>
      <c r="AG2209">
        <v>17000</v>
      </c>
      <c r="AH2209">
        <v>290</v>
      </c>
      <c r="AI2209">
        <v>17000</v>
      </c>
      <c r="AJ2209">
        <v>4588.4686588541763</v>
      </c>
      <c r="AK2209">
        <v>6000</v>
      </c>
      <c r="AL2209">
        <v>3000</v>
      </c>
      <c r="AM2209">
        <v>6000</v>
      </c>
      <c r="AR2209">
        <v>10111.900496034759</v>
      </c>
      <c r="AS2209">
        <v>20000</v>
      </c>
      <c r="AT2209">
        <v>5000</v>
      </c>
      <c r="AU2209">
        <v>20000</v>
      </c>
      <c r="AZ2209">
        <v>3235.9407250947929</v>
      </c>
      <c r="BA2209">
        <v>5000</v>
      </c>
      <c r="BB2209">
        <v>500</v>
      </c>
      <c r="BC2209">
        <v>5000</v>
      </c>
      <c r="BD2209">
        <v>1317</v>
      </c>
    </row>
    <row r="2210" spans="1:56" x14ac:dyDescent="0.25">
      <c r="A2210" t="s">
        <v>200</v>
      </c>
      <c r="B2210" t="s">
        <v>203</v>
      </c>
      <c r="C2210" t="s">
        <v>229</v>
      </c>
      <c r="D2210">
        <v>33910.831551414019</v>
      </c>
      <c r="E2210">
        <v>27000</v>
      </c>
      <c r="F2210">
        <v>2000</v>
      </c>
      <c r="G2210">
        <v>120000</v>
      </c>
      <c r="H2210">
        <v>16984.63285145296</v>
      </c>
      <c r="I2210">
        <v>15000</v>
      </c>
      <c r="J2210">
        <v>500</v>
      </c>
      <c r="K2210">
        <v>40000</v>
      </c>
      <c r="L2210">
        <v>47449.798302684969</v>
      </c>
      <c r="M2210">
        <v>45000</v>
      </c>
      <c r="N2210">
        <v>1000</v>
      </c>
      <c r="O2210">
        <v>100000</v>
      </c>
      <c r="P2210">
        <v>3500</v>
      </c>
      <c r="Q2210">
        <v>3500</v>
      </c>
      <c r="R2210">
        <v>3500</v>
      </c>
      <c r="S2210">
        <v>3500</v>
      </c>
      <c r="T2210">
        <v>3578.147555214739</v>
      </c>
      <c r="U2210">
        <v>3000</v>
      </c>
      <c r="V2210">
        <v>2000</v>
      </c>
      <c r="W2210">
        <v>9000</v>
      </c>
      <c r="X2210">
        <v>6318.9849339549646</v>
      </c>
      <c r="Y2210">
        <v>5700</v>
      </c>
      <c r="Z2210">
        <v>2700</v>
      </c>
      <c r="AA2210">
        <v>30000</v>
      </c>
      <c r="AB2210">
        <v>1856.5951118838109</v>
      </c>
      <c r="AC2210">
        <v>860</v>
      </c>
      <c r="AD2210">
        <v>245</v>
      </c>
      <c r="AE2210">
        <v>20000</v>
      </c>
      <c r="AF2210">
        <v>7165.7449606639293</v>
      </c>
      <c r="AG2210">
        <v>7000</v>
      </c>
      <c r="AH2210">
        <v>3500</v>
      </c>
      <c r="AI2210">
        <v>20000</v>
      </c>
      <c r="AJ2210">
        <v>5025.4642010912012</v>
      </c>
      <c r="AK2210">
        <v>10000</v>
      </c>
      <c r="AL2210">
        <v>1000</v>
      </c>
      <c r="AM2210">
        <v>10000</v>
      </c>
      <c r="AN2210">
        <v>7831.1400915827426</v>
      </c>
      <c r="AO2210">
        <v>10500</v>
      </c>
      <c r="AP2210">
        <v>1500</v>
      </c>
      <c r="AQ2210">
        <v>10500</v>
      </c>
      <c r="AR2210">
        <v>6672.8991266051571</v>
      </c>
      <c r="AS2210">
        <v>5000</v>
      </c>
      <c r="AT2210">
        <v>500</v>
      </c>
      <c r="AU2210">
        <v>50000</v>
      </c>
      <c r="AZ2210">
        <v>11513.837832377631</v>
      </c>
      <c r="BA2210">
        <v>6000</v>
      </c>
      <c r="BB2210">
        <v>800</v>
      </c>
      <c r="BC2210">
        <v>42000</v>
      </c>
      <c r="BD2210">
        <v>1317</v>
      </c>
    </row>
    <row r="2211" spans="1:56" x14ac:dyDescent="0.25">
      <c r="A2211" t="s">
        <v>201</v>
      </c>
      <c r="B2211" t="s">
        <v>203</v>
      </c>
      <c r="C2211" t="s">
        <v>228</v>
      </c>
      <c r="D2211">
        <v>31144.69257613596</v>
      </c>
      <c r="E2211">
        <v>21000</v>
      </c>
      <c r="F2211">
        <v>1700</v>
      </c>
      <c r="G2211">
        <v>120000</v>
      </c>
      <c r="H2211">
        <v>5602.664099292364</v>
      </c>
      <c r="I2211">
        <v>5000</v>
      </c>
      <c r="J2211">
        <v>1000</v>
      </c>
      <c r="K2211">
        <v>15000</v>
      </c>
      <c r="L2211">
        <v>12932.092611974571</v>
      </c>
      <c r="M2211">
        <v>20000</v>
      </c>
      <c r="N2211">
        <v>2700</v>
      </c>
      <c r="O2211">
        <v>30000</v>
      </c>
      <c r="P2211">
        <v>4468.4128377856596</v>
      </c>
      <c r="Q2211">
        <v>3000</v>
      </c>
      <c r="R2211">
        <v>300</v>
      </c>
      <c r="S2211">
        <v>40000</v>
      </c>
      <c r="T2211">
        <v>5508.7769084694546</v>
      </c>
      <c r="U2211">
        <v>7000</v>
      </c>
      <c r="V2211">
        <v>2000</v>
      </c>
      <c r="W2211">
        <v>20000</v>
      </c>
      <c r="X2211">
        <v>4855.6530212449479</v>
      </c>
      <c r="Y2211">
        <v>4000</v>
      </c>
      <c r="Z2211">
        <v>2300</v>
      </c>
      <c r="AA2211">
        <v>10000</v>
      </c>
      <c r="AB2211">
        <v>4107.5034430044652</v>
      </c>
      <c r="AC2211">
        <v>3000</v>
      </c>
      <c r="AD2211">
        <v>500</v>
      </c>
      <c r="AE2211">
        <v>25000</v>
      </c>
      <c r="AF2211">
        <v>21500</v>
      </c>
      <c r="AG2211">
        <v>55000</v>
      </c>
      <c r="AH2211">
        <v>2500</v>
      </c>
      <c r="AI2211">
        <v>55000</v>
      </c>
      <c r="AJ2211">
        <v>6703.2100890152606</v>
      </c>
      <c r="AK2211">
        <v>20000</v>
      </c>
      <c r="AL2211">
        <v>1500</v>
      </c>
      <c r="AM2211">
        <v>20000</v>
      </c>
      <c r="AN2211">
        <v>18218.6365236565</v>
      </c>
      <c r="AO2211">
        <v>2000</v>
      </c>
      <c r="AP2211">
        <v>1000</v>
      </c>
      <c r="AQ2211">
        <v>80000</v>
      </c>
      <c r="AR2211">
        <v>9146.2868196315321</v>
      </c>
      <c r="AS2211">
        <v>5000</v>
      </c>
      <c r="AT2211">
        <v>2000</v>
      </c>
      <c r="AU2211">
        <v>100000</v>
      </c>
      <c r="AV2211">
        <v>15547.22025570412</v>
      </c>
      <c r="AW2211">
        <v>25000</v>
      </c>
      <c r="AX2211">
        <v>5000</v>
      </c>
      <c r="AY2211">
        <v>25000</v>
      </c>
      <c r="AZ2211">
        <v>70000</v>
      </c>
      <c r="BA2211">
        <v>70000</v>
      </c>
      <c r="BB2211">
        <v>70000</v>
      </c>
      <c r="BC2211">
        <v>70000</v>
      </c>
      <c r="BD2211">
        <v>1317</v>
      </c>
    </row>
    <row r="2212" spans="1:56" x14ac:dyDescent="0.25">
      <c r="A2212" t="s">
        <v>201</v>
      </c>
      <c r="B2212" t="s">
        <v>203</v>
      </c>
      <c r="C2212" t="s">
        <v>229</v>
      </c>
      <c r="D2212">
        <v>25794.696812441711</v>
      </c>
      <c r="E2212">
        <v>23500</v>
      </c>
      <c r="F2212">
        <v>5000</v>
      </c>
      <c r="G2212">
        <v>53000</v>
      </c>
      <c r="H2212">
        <v>9190.616822692913</v>
      </c>
      <c r="I2212">
        <v>7000</v>
      </c>
      <c r="J2212">
        <v>2500</v>
      </c>
      <c r="K2212">
        <v>30000</v>
      </c>
      <c r="L2212">
        <v>30837.093391000701</v>
      </c>
      <c r="M2212">
        <v>40000</v>
      </c>
      <c r="N2212">
        <v>9000</v>
      </c>
      <c r="O2212">
        <v>85000</v>
      </c>
      <c r="P2212">
        <v>8098.4815754118472</v>
      </c>
      <c r="Q2212">
        <v>8000</v>
      </c>
      <c r="R2212">
        <v>8000</v>
      </c>
      <c r="S2212">
        <v>10000</v>
      </c>
      <c r="T2212">
        <v>3899.259003398432</v>
      </c>
      <c r="U2212">
        <v>5000</v>
      </c>
      <c r="V2212">
        <v>2000</v>
      </c>
      <c r="W2212">
        <v>10000</v>
      </c>
      <c r="X2212">
        <v>5424.0456506968967</v>
      </c>
      <c r="Y2212">
        <v>5000</v>
      </c>
      <c r="Z2212">
        <v>2350</v>
      </c>
      <c r="AA2212">
        <v>11000</v>
      </c>
      <c r="AB2212">
        <v>3044.102664124041</v>
      </c>
      <c r="AC2212">
        <v>2960</v>
      </c>
      <c r="AD2212">
        <v>860</v>
      </c>
      <c r="AE2212">
        <v>8260</v>
      </c>
      <c r="AF2212">
        <v>4161.6110134409018</v>
      </c>
      <c r="AG2212">
        <v>4500</v>
      </c>
      <c r="AH2212">
        <v>2500</v>
      </c>
      <c r="AI2212">
        <v>12000</v>
      </c>
      <c r="AJ2212">
        <v>10539.44830129754</v>
      </c>
      <c r="AK2212">
        <v>5000</v>
      </c>
      <c r="AL2212">
        <v>2000</v>
      </c>
      <c r="AM2212">
        <v>60000</v>
      </c>
      <c r="AN2212">
        <v>3071.67627153378</v>
      </c>
      <c r="AO2212">
        <v>1500</v>
      </c>
      <c r="AP2212">
        <v>200</v>
      </c>
      <c r="AQ2212">
        <v>40000</v>
      </c>
      <c r="AR2212">
        <v>2996.7486727666378</v>
      </c>
      <c r="AS2212">
        <v>2500</v>
      </c>
      <c r="AT2212">
        <v>500</v>
      </c>
      <c r="AU2212">
        <v>20000</v>
      </c>
      <c r="AZ2212">
        <v>4600</v>
      </c>
      <c r="BA2212">
        <v>4500</v>
      </c>
      <c r="BB2212">
        <v>4500</v>
      </c>
      <c r="BC2212">
        <v>4700</v>
      </c>
      <c r="BD2212">
        <v>1317</v>
      </c>
    </row>
    <row r="2213" spans="1:56" x14ac:dyDescent="0.25">
      <c r="A2213" t="s">
        <v>202</v>
      </c>
      <c r="B2213" t="s">
        <v>203</v>
      </c>
      <c r="C2213" t="s">
        <v>228</v>
      </c>
      <c r="D2213">
        <v>23823.99181076961</v>
      </c>
      <c r="E2213">
        <v>20000</v>
      </c>
      <c r="F2213">
        <v>5800</v>
      </c>
      <c r="G2213">
        <v>60000</v>
      </c>
      <c r="H2213">
        <v>22843.684464049591</v>
      </c>
      <c r="I2213">
        <v>40000</v>
      </c>
      <c r="J2213">
        <v>5000</v>
      </c>
      <c r="K2213">
        <v>80000</v>
      </c>
      <c r="X2213">
        <v>6244.0601684930953</v>
      </c>
      <c r="Y2213">
        <v>6000</v>
      </c>
      <c r="Z2213">
        <v>3000</v>
      </c>
      <c r="AA2213">
        <v>12500</v>
      </c>
      <c r="AB2213">
        <v>2806.3057064422392</v>
      </c>
      <c r="AC2213">
        <v>2315</v>
      </c>
      <c r="AD2213">
        <v>800</v>
      </c>
      <c r="AE2213">
        <v>10000</v>
      </c>
      <c r="AF2213">
        <v>5745.7570166948826</v>
      </c>
      <c r="AG2213">
        <v>10000</v>
      </c>
      <c r="AH2213">
        <v>1100</v>
      </c>
      <c r="AI2213">
        <v>10000</v>
      </c>
      <c r="AJ2213">
        <v>18295.587881453419</v>
      </c>
      <c r="AK2213">
        <v>20000</v>
      </c>
      <c r="AL2213">
        <v>10000</v>
      </c>
      <c r="AM2213">
        <v>30000</v>
      </c>
      <c r="AR2213">
        <v>3189.4558049307898</v>
      </c>
      <c r="AS2213">
        <v>4000</v>
      </c>
      <c r="AT2213">
        <v>2000</v>
      </c>
      <c r="AU2213">
        <v>4000</v>
      </c>
      <c r="BD2213">
        <v>1317</v>
      </c>
    </row>
    <row r="2214" spans="1:56" x14ac:dyDescent="0.25">
      <c r="A2214" t="s">
        <v>202</v>
      </c>
      <c r="B2214" t="s">
        <v>203</v>
      </c>
      <c r="C2214" t="s">
        <v>229</v>
      </c>
      <c r="D2214">
        <v>35551.0930974656</v>
      </c>
      <c r="E2214">
        <v>30000</v>
      </c>
      <c r="F2214">
        <v>6500</v>
      </c>
      <c r="G2214">
        <v>140000</v>
      </c>
      <c r="H2214">
        <v>8015.3174004288576</v>
      </c>
      <c r="I2214">
        <v>10000</v>
      </c>
      <c r="J2214">
        <v>5000</v>
      </c>
      <c r="K2214">
        <v>11000</v>
      </c>
      <c r="L2214">
        <v>27117.341345219531</v>
      </c>
      <c r="M2214">
        <v>21000</v>
      </c>
      <c r="N2214">
        <v>21000</v>
      </c>
      <c r="O2214">
        <v>40000</v>
      </c>
      <c r="X2214">
        <v>7665.7998764514177</v>
      </c>
      <c r="Y2214">
        <v>7500</v>
      </c>
      <c r="Z2214">
        <v>2400</v>
      </c>
      <c r="AA2214">
        <v>18000</v>
      </c>
      <c r="AB2214">
        <v>2343.3945144860641</v>
      </c>
      <c r="AC2214">
        <v>2400</v>
      </c>
      <c r="AD2214">
        <v>860</v>
      </c>
      <c r="AE2214">
        <v>6300</v>
      </c>
      <c r="AF2214">
        <v>8451.5264028233105</v>
      </c>
      <c r="AG2214">
        <v>12000</v>
      </c>
      <c r="AH2214">
        <v>1000</v>
      </c>
      <c r="AI2214">
        <v>13000</v>
      </c>
      <c r="AJ2214">
        <v>12000</v>
      </c>
      <c r="AK2214">
        <v>4000</v>
      </c>
      <c r="AL2214">
        <v>4000</v>
      </c>
      <c r="AM2214">
        <v>20000</v>
      </c>
      <c r="AR2214">
        <v>5311.4901476410041</v>
      </c>
      <c r="AS2214">
        <v>5000</v>
      </c>
      <c r="AT2214">
        <v>1000</v>
      </c>
      <c r="AU2214">
        <v>10000</v>
      </c>
      <c r="BD2214">
        <v>1317</v>
      </c>
    </row>
    <row r="2215" spans="1:56" x14ac:dyDescent="0.25">
      <c r="A2215" t="s">
        <v>204</v>
      </c>
      <c r="B2215" t="s">
        <v>204</v>
      </c>
      <c r="C2215" t="s">
        <v>204</v>
      </c>
      <c r="D2215">
        <v>27760.430189018589</v>
      </c>
      <c r="E2215">
        <v>24000</v>
      </c>
      <c r="F2215">
        <v>1600</v>
      </c>
      <c r="G2215">
        <v>250000</v>
      </c>
      <c r="H2215">
        <v>12484.28291195645</v>
      </c>
      <c r="I2215">
        <v>10000</v>
      </c>
      <c r="J2215">
        <v>200</v>
      </c>
      <c r="K2215">
        <v>80000</v>
      </c>
      <c r="L2215">
        <v>44381.753331860098</v>
      </c>
      <c r="M2215">
        <v>35000</v>
      </c>
      <c r="N2215">
        <v>1000</v>
      </c>
      <c r="O2215">
        <v>300000</v>
      </c>
      <c r="P2215">
        <v>5811.6621826015762</v>
      </c>
      <c r="Q2215">
        <v>5000</v>
      </c>
      <c r="R2215">
        <v>300</v>
      </c>
      <c r="S2215">
        <v>40000</v>
      </c>
      <c r="T2215">
        <v>5393.8013120957103</v>
      </c>
      <c r="U2215">
        <v>5000</v>
      </c>
      <c r="V2215">
        <v>2000</v>
      </c>
      <c r="W2215">
        <v>23000</v>
      </c>
      <c r="X2215">
        <v>6672.7898743025871</v>
      </c>
      <c r="Y2215">
        <v>5600</v>
      </c>
      <c r="Z2215">
        <v>2300</v>
      </c>
      <c r="AA2215">
        <v>30000</v>
      </c>
      <c r="AB2215">
        <v>4172.6849463924809</v>
      </c>
      <c r="AC2215">
        <v>2315</v>
      </c>
      <c r="AD2215">
        <v>245</v>
      </c>
      <c r="AE2215">
        <v>340000</v>
      </c>
      <c r="AF2215">
        <v>5993.4615293622819</v>
      </c>
      <c r="AG2215">
        <v>6000</v>
      </c>
      <c r="AH2215">
        <v>290</v>
      </c>
      <c r="AI2215">
        <v>55000</v>
      </c>
      <c r="AJ2215">
        <v>8410.4932093843672</v>
      </c>
      <c r="AK2215">
        <v>6000</v>
      </c>
      <c r="AL2215">
        <v>1000</v>
      </c>
      <c r="AM2215">
        <v>60000</v>
      </c>
      <c r="AN2215">
        <v>8092.5418049963882</v>
      </c>
      <c r="AO2215">
        <v>3200</v>
      </c>
      <c r="AP2215">
        <v>200</v>
      </c>
      <c r="AQ2215">
        <v>80000</v>
      </c>
      <c r="AR2215">
        <v>11403.049096979679</v>
      </c>
      <c r="AS2215">
        <v>5000</v>
      </c>
      <c r="AT2215">
        <v>200</v>
      </c>
      <c r="AU2215">
        <v>150000</v>
      </c>
      <c r="AV2215">
        <v>3938.0192406278802</v>
      </c>
      <c r="AW2215">
        <v>3000</v>
      </c>
      <c r="AX2215">
        <v>1500</v>
      </c>
      <c r="AY2215">
        <v>25000</v>
      </c>
      <c r="AZ2215">
        <v>16455.56428890652</v>
      </c>
      <c r="BA2215">
        <v>9000</v>
      </c>
      <c r="BB2215">
        <v>500</v>
      </c>
      <c r="BC2215">
        <v>70000</v>
      </c>
      <c r="BD2215">
        <v>1317</v>
      </c>
    </row>
    <row r="2217" spans="1:56" x14ac:dyDescent="0.25">
      <c r="A2217" t="s">
        <v>661</v>
      </c>
    </row>
    <row r="2218" spans="1:56" x14ac:dyDescent="0.25">
      <c r="A2218" t="s">
        <v>189</v>
      </c>
      <c r="B2218" t="s">
        <v>190</v>
      </c>
      <c r="C2218" t="s">
        <v>206</v>
      </c>
      <c r="D2218" t="s">
        <v>608</v>
      </c>
      <c r="E2218" t="s">
        <v>609</v>
      </c>
      <c r="F2218" t="s">
        <v>610</v>
      </c>
      <c r="G2218" t="s">
        <v>611</v>
      </c>
      <c r="H2218" t="s">
        <v>612</v>
      </c>
      <c r="I2218" t="s">
        <v>613</v>
      </c>
      <c r="J2218" t="s">
        <v>614</v>
      </c>
      <c r="K2218" t="s">
        <v>615</v>
      </c>
      <c r="L2218" t="s">
        <v>616</v>
      </c>
      <c r="M2218" t="s">
        <v>617</v>
      </c>
      <c r="N2218" t="s">
        <v>618</v>
      </c>
      <c r="O2218" t="s">
        <v>619</v>
      </c>
      <c r="P2218" t="s">
        <v>620</v>
      </c>
      <c r="Q2218" t="s">
        <v>621</v>
      </c>
      <c r="R2218" t="s">
        <v>622</v>
      </c>
      <c r="S2218" t="s">
        <v>623</v>
      </c>
      <c r="T2218" t="s">
        <v>624</v>
      </c>
      <c r="U2218" t="s">
        <v>625</v>
      </c>
      <c r="V2218" t="s">
        <v>626</v>
      </c>
      <c r="W2218" t="s">
        <v>627</v>
      </c>
      <c r="X2218" t="s">
        <v>628</v>
      </c>
      <c r="Y2218" t="s">
        <v>629</v>
      </c>
      <c r="Z2218" t="s">
        <v>630</v>
      </c>
      <c r="AA2218" t="s">
        <v>631</v>
      </c>
      <c r="AB2218" t="s">
        <v>632</v>
      </c>
      <c r="AC2218" t="s">
        <v>633</v>
      </c>
      <c r="AD2218" t="s">
        <v>634</v>
      </c>
      <c r="AE2218" t="s">
        <v>635</v>
      </c>
      <c r="AF2218" t="s">
        <v>636</v>
      </c>
      <c r="AG2218" t="s">
        <v>637</v>
      </c>
      <c r="AH2218" t="s">
        <v>638</v>
      </c>
      <c r="AI2218" t="s">
        <v>639</v>
      </c>
      <c r="AJ2218" t="s">
        <v>640</v>
      </c>
      <c r="AK2218" t="s">
        <v>641</v>
      </c>
      <c r="AL2218" t="s">
        <v>642</v>
      </c>
      <c r="AM2218" t="s">
        <v>643</v>
      </c>
      <c r="AN2218" t="s">
        <v>644</v>
      </c>
      <c r="AO2218" t="s">
        <v>645</v>
      </c>
      <c r="AP2218" t="s">
        <v>646</v>
      </c>
      <c r="AQ2218" t="s">
        <v>647</v>
      </c>
      <c r="AR2218" t="s">
        <v>648</v>
      </c>
      <c r="AS2218" t="s">
        <v>649</v>
      </c>
      <c r="AT2218" t="s">
        <v>650</v>
      </c>
      <c r="AU2218" t="s">
        <v>651</v>
      </c>
      <c r="AV2218" t="s">
        <v>652</v>
      </c>
      <c r="AW2218" t="s">
        <v>653</v>
      </c>
      <c r="AX2218" t="s">
        <v>654</v>
      </c>
      <c r="AY2218" t="s">
        <v>655</v>
      </c>
      <c r="AZ2218" t="s">
        <v>656</v>
      </c>
      <c r="BA2218" t="s">
        <v>657</v>
      </c>
      <c r="BB2218" t="s">
        <v>658</v>
      </c>
      <c r="BC2218" t="s">
        <v>659</v>
      </c>
      <c r="BD2218" t="s">
        <v>196</v>
      </c>
    </row>
    <row r="2219" spans="1:56" x14ac:dyDescent="0.25">
      <c r="A2219" t="s">
        <v>197</v>
      </c>
      <c r="B2219" t="s">
        <v>198</v>
      </c>
      <c r="C2219" t="s">
        <v>348</v>
      </c>
      <c r="D2219">
        <v>18230.541478324129</v>
      </c>
      <c r="E2219">
        <v>12000</v>
      </c>
      <c r="F2219">
        <v>6200</v>
      </c>
      <c r="G2219">
        <v>60000</v>
      </c>
      <c r="H2219">
        <v>8875.8694311180643</v>
      </c>
      <c r="I2219">
        <v>6100</v>
      </c>
      <c r="J2219">
        <v>300</v>
      </c>
      <c r="K2219">
        <v>35000</v>
      </c>
      <c r="T2219">
        <v>5043.6135554142738</v>
      </c>
      <c r="U2219">
        <v>4000</v>
      </c>
      <c r="V2219">
        <v>2000</v>
      </c>
      <c r="W2219">
        <v>14000</v>
      </c>
      <c r="X2219">
        <v>8008.0279298277692</v>
      </c>
      <c r="Y2219">
        <v>7500</v>
      </c>
      <c r="Z2219">
        <v>2400</v>
      </c>
      <c r="AA2219">
        <v>22000</v>
      </c>
      <c r="AB2219">
        <v>6968.0003823431407</v>
      </c>
      <c r="AC2219">
        <v>7000</v>
      </c>
      <c r="AD2219">
        <v>300</v>
      </c>
      <c r="AE2219">
        <v>19000</v>
      </c>
      <c r="AJ2219">
        <v>4981.8378482748303</v>
      </c>
      <c r="AK2219">
        <v>6000</v>
      </c>
      <c r="AL2219">
        <v>1000</v>
      </c>
      <c r="AM2219">
        <v>10000</v>
      </c>
      <c r="AN2219">
        <v>30000</v>
      </c>
      <c r="AO2219">
        <v>30000</v>
      </c>
      <c r="AP2219">
        <v>30000</v>
      </c>
      <c r="AQ2219">
        <v>30000</v>
      </c>
      <c r="AR2219">
        <v>8666.6666666666661</v>
      </c>
      <c r="AS2219">
        <v>15000</v>
      </c>
      <c r="AT2219">
        <v>5000</v>
      </c>
      <c r="AU2219">
        <v>15000</v>
      </c>
      <c r="AV2219">
        <v>3000</v>
      </c>
      <c r="AW2219">
        <v>3000</v>
      </c>
      <c r="AX2219">
        <v>3000</v>
      </c>
      <c r="AY2219">
        <v>3000</v>
      </c>
      <c r="BD2219">
        <v>1317</v>
      </c>
    </row>
    <row r="2220" spans="1:56" x14ac:dyDescent="0.25">
      <c r="A2220" t="s">
        <v>197</v>
      </c>
      <c r="B2220" t="s">
        <v>198</v>
      </c>
      <c r="C2220" t="s">
        <v>349</v>
      </c>
      <c r="D2220">
        <v>13000</v>
      </c>
      <c r="E2220">
        <v>13000</v>
      </c>
      <c r="F2220">
        <v>13000</v>
      </c>
      <c r="G2220">
        <v>13000</v>
      </c>
      <c r="T2220">
        <v>8000</v>
      </c>
      <c r="U2220">
        <v>8000</v>
      </c>
      <c r="V2220">
        <v>8000</v>
      </c>
      <c r="W2220">
        <v>8000</v>
      </c>
      <c r="X2220">
        <v>4300</v>
      </c>
      <c r="Y2220">
        <v>4300</v>
      </c>
      <c r="Z2220">
        <v>4300</v>
      </c>
      <c r="AA2220">
        <v>4300</v>
      </c>
      <c r="AB2220">
        <v>6000</v>
      </c>
      <c r="AC2220">
        <v>6000</v>
      </c>
      <c r="AD2220">
        <v>6000</v>
      </c>
      <c r="AE2220">
        <v>6000</v>
      </c>
      <c r="BD2220">
        <v>1317</v>
      </c>
    </row>
    <row r="2221" spans="1:56" x14ac:dyDescent="0.25">
      <c r="A2221" t="s">
        <v>199</v>
      </c>
      <c r="B2221" t="s">
        <v>198</v>
      </c>
      <c r="C2221" t="s">
        <v>348</v>
      </c>
      <c r="D2221">
        <v>21705.92251995128</v>
      </c>
      <c r="E2221">
        <v>16000</v>
      </c>
      <c r="F2221">
        <v>2000</v>
      </c>
      <c r="G2221">
        <v>54000</v>
      </c>
      <c r="H2221">
        <v>10120.54761747667</v>
      </c>
      <c r="I2221">
        <v>8000</v>
      </c>
      <c r="J2221">
        <v>200</v>
      </c>
      <c r="K2221">
        <v>25000</v>
      </c>
      <c r="T2221">
        <v>3461.5153734556129</v>
      </c>
      <c r="U2221">
        <v>2000</v>
      </c>
      <c r="V2221">
        <v>2000</v>
      </c>
      <c r="W2221">
        <v>10000</v>
      </c>
      <c r="X2221">
        <v>6617.2668566944394</v>
      </c>
      <c r="Y2221">
        <v>7500</v>
      </c>
      <c r="Z2221">
        <v>2300</v>
      </c>
      <c r="AA2221">
        <v>21500</v>
      </c>
      <c r="AB2221">
        <v>3120.8931324236528</v>
      </c>
      <c r="AC2221">
        <v>3700</v>
      </c>
      <c r="AD2221">
        <v>860</v>
      </c>
      <c r="AE2221">
        <v>4200</v>
      </c>
      <c r="AF2221">
        <v>5000</v>
      </c>
      <c r="AG2221">
        <v>5000</v>
      </c>
      <c r="AH2221">
        <v>5000</v>
      </c>
      <c r="AI2221">
        <v>5000</v>
      </c>
      <c r="AJ2221">
        <v>6500</v>
      </c>
      <c r="AK2221">
        <v>5000</v>
      </c>
      <c r="AL2221">
        <v>5000</v>
      </c>
      <c r="AM2221">
        <v>8000</v>
      </c>
      <c r="BD2221">
        <v>1317</v>
      </c>
    </row>
    <row r="2222" spans="1:56" x14ac:dyDescent="0.25">
      <c r="A2222" t="s">
        <v>199</v>
      </c>
      <c r="B2222" t="s">
        <v>198</v>
      </c>
      <c r="C2222" t="s">
        <v>349</v>
      </c>
      <c r="D2222">
        <v>24361.476399881889</v>
      </c>
      <c r="E2222">
        <v>25000</v>
      </c>
      <c r="F2222">
        <v>2600</v>
      </c>
      <c r="G2222">
        <v>70000</v>
      </c>
      <c r="H2222">
        <v>13376.83220531981</v>
      </c>
      <c r="I2222">
        <v>15400</v>
      </c>
      <c r="J2222">
        <v>4000</v>
      </c>
      <c r="K2222">
        <v>37000</v>
      </c>
      <c r="L2222">
        <v>9478.2407786205986</v>
      </c>
      <c r="M2222">
        <v>15000</v>
      </c>
      <c r="N2222">
        <v>8000</v>
      </c>
      <c r="O2222">
        <v>22000</v>
      </c>
      <c r="P2222">
        <v>2267.1801288766251</v>
      </c>
      <c r="Q2222">
        <v>5000</v>
      </c>
      <c r="R2222">
        <v>500</v>
      </c>
      <c r="S2222">
        <v>5000</v>
      </c>
      <c r="T2222">
        <v>5534.0947523481182</v>
      </c>
      <c r="U2222">
        <v>5000</v>
      </c>
      <c r="V2222">
        <v>2000</v>
      </c>
      <c r="W2222">
        <v>16000</v>
      </c>
      <c r="X2222">
        <v>7177.4357081394182</v>
      </c>
      <c r="Y2222">
        <v>8000</v>
      </c>
      <c r="Z2222">
        <v>2700</v>
      </c>
      <c r="AA2222">
        <v>15000</v>
      </c>
      <c r="AB2222">
        <v>3052.381635134217</v>
      </c>
      <c r="AC2222">
        <v>2760</v>
      </c>
      <c r="AD2222">
        <v>500</v>
      </c>
      <c r="AE2222">
        <v>20000</v>
      </c>
      <c r="AJ2222">
        <v>7185.836310078651</v>
      </c>
      <c r="AK2222">
        <v>8000</v>
      </c>
      <c r="AL2222">
        <v>1000</v>
      </c>
      <c r="AM2222">
        <v>8000</v>
      </c>
      <c r="AN2222">
        <v>3645.4673181249068</v>
      </c>
      <c r="AO2222">
        <v>2200</v>
      </c>
      <c r="AP2222">
        <v>500</v>
      </c>
      <c r="AQ2222">
        <v>73000</v>
      </c>
      <c r="AR2222">
        <v>3796.5768984785182</v>
      </c>
      <c r="AS2222">
        <v>3000</v>
      </c>
      <c r="AT2222">
        <v>2000</v>
      </c>
      <c r="AU2222">
        <v>6000</v>
      </c>
      <c r="AV2222">
        <v>1500</v>
      </c>
      <c r="AW2222">
        <v>1500</v>
      </c>
      <c r="AX2222">
        <v>1500</v>
      </c>
      <c r="AY2222">
        <v>1500</v>
      </c>
      <c r="AZ2222">
        <v>5700</v>
      </c>
      <c r="BA2222">
        <v>1400</v>
      </c>
      <c r="BB2222">
        <v>1400</v>
      </c>
      <c r="BC2222">
        <v>10000</v>
      </c>
      <c r="BD2222">
        <v>1317</v>
      </c>
    </row>
    <row r="2223" spans="1:56" x14ac:dyDescent="0.25">
      <c r="A2223" t="s">
        <v>199</v>
      </c>
      <c r="B2223" t="s">
        <v>198</v>
      </c>
      <c r="C2223" t="s">
        <v>350</v>
      </c>
      <c r="D2223">
        <v>18666.75342719099</v>
      </c>
      <c r="E2223">
        <v>15000</v>
      </c>
      <c r="F2223">
        <v>1600</v>
      </c>
      <c r="G2223">
        <v>100000</v>
      </c>
      <c r="H2223">
        <v>7827.9015287679713</v>
      </c>
      <c r="I2223">
        <v>6500</v>
      </c>
      <c r="J2223">
        <v>500</v>
      </c>
      <c r="K2223">
        <v>25000</v>
      </c>
      <c r="P2223">
        <v>10489.30218448816</v>
      </c>
      <c r="Q2223">
        <v>13000</v>
      </c>
      <c r="R2223">
        <v>7500</v>
      </c>
      <c r="S2223">
        <v>15000</v>
      </c>
      <c r="T2223">
        <v>6454.399288717088</v>
      </c>
      <c r="U2223">
        <v>5000</v>
      </c>
      <c r="V2223">
        <v>2000</v>
      </c>
      <c r="W2223">
        <v>17000</v>
      </c>
      <c r="X2223">
        <v>6861.2491381916561</v>
      </c>
      <c r="Y2223">
        <v>7500</v>
      </c>
      <c r="Z2223">
        <v>2300</v>
      </c>
      <c r="AA2223">
        <v>20000</v>
      </c>
      <c r="AB2223">
        <v>11613.969312679559</v>
      </c>
      <c r="AC2223">
        <v>2300</v>
      </c>
      <c r="AD2223">
        <v>860</v>
      </c>
      <c r="AE2223">
        <v>340000</v>
      </c>
      <c r="AF2223">
        <v>375</v>
      </c>
      <c r="AG2223">
        <v>375</v>
      </c>
      <c r="AH2223">
        <v>375</v>
      </c>
      <c r="AI2223">
        <v>375</v>
      </c>
      <c r="AJ2223">
        <v>3301.738419397489</v>
      </c>
      <c r="AK2223">
        <v>3000</v>
      </c>
      <c r="AL2223">
        <v>2000</v>
      </c>
      <c r="AM2223">
        <v>7000</v>
      </c>
      <c r="AN2223">
        <v>9532.4369311488445</v>
      </c>
      <c r="AO2223">
        <v>4500</v>
      </c>
      <c r="AP2223">
        <v>300</v>
      </c>
      <c r="AQ2223">
        <v>42000</v>
      </c>
      <c r="AR2223">
        <v>9320.218198900744</v>
      </c>
      <c r="AS2223">
        <v>10000</v>
      </c>
      <c r="AT2223">
        <v>2500</v>
      </c>
      <c r="AU2223">
        <v>18000</v>
      </c>
      <c r="AV2223">
        <v>6600</v>
      </c>
      <c r="AW2223">
        <v>6600</v>
      </c>
      <c r="AX2223">
        <v>6600</v>
      </c>
      <c r="AY2223">
        <v>6600</v>
      </c>
      <c r="AZ2223">
        <v>9780.7013653765371</v>
      </c>
      <c r="BA2223">
        <v>9900</v>
      </c>
      <c r="BB2223">
        <v>1600</v>
      </c>
      <c r="BC2223">
        <v>30000</v>
      </c>
      <c r="BD2223">
        <v>1317</v>
      </c>
    </row>
    <row r="2224" spans="1:56" x14ac:dyDescent="0.25">
      <c r="A2224" t="s">
        <v>200</v>
      </c>
      <c r="B2224" t="s">
        <v>198</v>
      </c>
      <c r="C2224" t="s">
        <v>348</v>
      </c>
      <c r="D2224">
        <v>28245.592709632689</v>
      </c>
      <c r="E2224">
        <v>25000</v>
      </c>
      <c r="F2224">
        <v>3000</v>
      </c>
      <c r="G2224">
        <v>100000</v>
      </c>
      <c r="H2224">
        <v>11220.716248786959</v>
      </c>
      <c r="I2224">
        <v>11000</v>
      </c>
      <c r="J2224">
        <v>300</v>
      </c>
      <c r="K2224">
        <v>28000</v>
      </c>
      <c r="L2224">
        <v>40566.660741096923</v>
      </c>
      <c r="M2224">
        <v>50000</v>
      </c>
      <c r="N2224">
        <v>28000</v>
      </c>
      <c r="O2224">
        <v>60000</v>
      </c>
      <c r="P2224">
        <v>11706.36188822427</v>
      </c>
      <c r="Q2224">
        <v>15000</v>
      </c>
      <c r="R2224">
        <v>6000</v>
      </c>
      <c r="S2224">
        <v>15000</v>
      </c>
      <c r="T2224">
        <v>5050.7167740111236</v>
      </c>
      <c r="U2224">
        <v>4000</v>
      </c>
      <c r="V2224">
        <v>2000</v>
      </c>
      <c r="W2224">
        <v>23000</v>
      </c>
      <c r="X2224">
        <v>6656.714758557735</v>
      </c>
      <c r="Y2224">
        <v>5400</v>
      </c>
      <c r="Z2224">
        <v>2300</v>
      </c>
      <c r="AA2224">
        <v>24000</v>
      </c>
      <c r="AB2224">
        <v>2953.7086100072161</v>
      </c>
      <c r="AC2224">
        <v>2720</v>
      </c>
      <c r="AD2224">
        <v>340</v>
      </c>
      <c r="AE2224">
        <v>15900</v>
      </c>
      <c r="AJ2224">
        <v>14205.54251403303</v>
      </c>
      <c r="AK2224">
        <v>10000</v>
      </c>
      <c r="AL2224">
        <v>2000</v>
      </c>
      <c r="AM2224">
        <v>40000</v>
      </c>
      <c r="AN2224">
        <v>10800</v>
      </c>
      <c r="AO2224">
        <v>10800</v>
      </c>
      <c r="AP2224">
        <v>10800</v>
      </c>
      <c r="AQ2224">
        <v>10800</v>
      </c>
      <c r="AR2224">
        <v>13039.87646898073</v>
      </c>
      <c r="AS2224">
        <v>10000</v>
      </c>
      <c r="AT2224">
        <v>1000</v>
      </c>
      <c r="AU2224">
        <v>50000</v>
      </c>
      <c r="AV2224">
        <v>2587.6238420285608</v>
      </c>
      <c r="AW2224">
        <v>2000</v>
      </c>
      <c r="AX2224">
        <v>2000</v>
      </c>
      <c r="AY2224">
        <v>4000</v>
      </c>
      <c r="AZ2224">
        <v>50000</v>
      </c>
      <c r="BA2224">
        <v>50000</v>
      </c>
      <c r="BB2224">
        <v>50000</v>
      </c>
      <c r="BC2224">
        <v>50000</v>
      </c>
      <c r="BD2224">
        <v>1317</v>
      </c>
    </row>
    <row r="2225" spans="1:56" x14ac:dyDescent="0.25">
      <c r="A2225" t="s">
        <v>200</v>
      </c>
      <c r="B2225" t="s">
        <v>198</v>
      </c>
      <c r="C2225" t="s">
        <v>349</v>
      </c>
      <c r="D2225">
        <v>25007.414491781201</v>
      </c>
      <c r="E2225">
        <v>18000</v>
      </c>
      <c r="F2225">
        <v>2700</v>
      </c>
      <c r="G2225">
        <v>84000</v>
      </c>
      <c r="H2225">
        <v>5467.5303626120822</v>
      </c>
      <c r="I2225">
        <v>7000</v>
      </c>
      <c r="J2225">
        <v>200</v>
      </c>
      <c r="K2225">
        <v>10000</v>
      </c>
      <c r="L2225">
        <v>16242.220499566411</v>
      </c>
      <c r="M2225">
        <v>20000</v>
      </c>
      <c r="N2225">
        <v>4000</v>
      </c>
      <c r="O2225">
        <v>20000</v>
      </c>
      <c r="P2225">
        <v>3373.7435940557621</v>
      </c>
      <c r="Q2225">
        <v>3000</v>
      </c>
      <c r="R2225">
        <v>3000</v>
      </c>
      <c r="S2225">
        <v>7000</v>
      </c>
      <c r="T2225">
        <v>7615.594703094418</v>
      </c>
      <c r="U2225">
        <v>8000</v>
      </c>
      <c r="V2225">
        <v>2000</v>
      </c>
      <c r="W2225">
        <v>19000</v>
      </c>
      <c r="X2225">
        <v>8494.4004735692015</v>
      </c>
      <c r="Y2225">
        <v>10500</v>
      </c>
      <c r="Z2225">
        <v>2980</v>
      </c>
      <c r="AA2225">
        <v>23000</v>
      </c>
      <c r="AB2225">
        <v>4014.4283825220782</v>
      </c>
      <c r="AC2225">
        <v>5200</v>
      </c>
      <c r="AD2225">
        <v>860</v>
      </c>
      <c r="AE2225">
        <v>12600</v>
      </c>
      <c r="AF2225">
        <v>1500</v>
      </c>
      <c r="AG2225">
        <v>1500</v>
      </c>
      <c r="AH2225">
        <v>1500</v>
      </c>
      <c r="AI2225">
        <v>1500</v>
      </c>
      <c r="AR2225">
        <v>3951.0658068639582</v>
      </c>
      <c r="AS2225">
        <v>8000</v>
      </c>
      <c r="AT2225">
        <v>2000</v>
      </c>
      <c r="AU2225">
        <v>10000</v>
      </c>
      <c r="BD2225">
        <v>1317</v>
      </c>
    </row>
    <row r="2226" spans="1:56" x14ac:dyDescent="0.25">
      <c r="A2226" t="s">
        <v>200</v>
      </c>
      <c r="B2226" t="s">
        <v>198</v>
      </c>
      <c r="C2226" t="s">
        <v>350</v>
      </c>
      <c r="D2226">
        <v>12204.35440473173</v>
      </c>
      <c r="E2226">
        <v>12000</v>
      </c>
      <c r="F2226">
        <v>1600</v>
      </c>
      <c r="G2226">
        <v>30000</v>
      </c>
      <c r="H2226">
        <v>7089.1813414147282</v>
      </c>
      <c r="I2226">
        <v>9000</v>
      </c>
      <c r="J2226">
        <v>1800</v>
      </c>
      <c r="K2226">
        <v>10000</v>
      </c>
      <c r="P2226">
        <v>2682.455518347012</v>
      </c>
      <c r="Q2226">
        <v>3000</v>
      </c>
      <c r="R2226">
        <v>2000</v>
      </c>
      <c r="S2226">
        <v>3000</v>
      </c>
      <c r="T2226">
        <v>6728.7670523235174</v>
      </c>
      <c r="U2226">
        <v>5000</v>
      </c>
      <c r="V2226">
        <v>2000</v>
      </c>
      <c r="W2226">
        <v>14000</v>
      </c>
      <c r="X2226">
        <v>5019.5401106011259</v>
      </c>
      <c r="Y2226">
        <v>3200</v>
      </c>
      <c r="Z2226">
        <v>2500</v>
      </c>
      <c r="AA2226">
        <v>30000</v>
      </c>
      <c r="AB2226">
        <v>5141.8196888250804</v>
      </c>
      <c r="AC2226">
        <v>4700</v>
      </c>
      <c r="AD2226">
        <v>860</v>
      </c>
      <c r="AE2226">
        <v>11100</v>
      </c>
      <c r="AJ2226">
        <v>3937.5038860101322</v>
      </c>
      <c r="AK2226">
        <v>4000</v>
      </c>
      <c r="AL2226">
        <v>2500</v>
      </c>
      <c r="AM2226">
        <v>4000</v>
      </c>
      <c r="AN2226">
        <v>10600</v>
      </c>
      <c r="AO2226">
        <v>10600</v>
      </c>
      <c r="AP2226">
        <v>10600</v>
      </c>
      <c r="AQ2226">
        <v>10600</v>
      </c>
      <c r="AR2226">
        <v>7594.3672317332694</v>
      </c>
      <c r="AS2226">
        <v>5000</v>
      </c>
      <c r="AT2226">
        <v>700</v>
      </c>
      <c r="AU2226">
        <v>20000</v>
      </c>
      <c r="AZ2226">
        <v>2000</v>
      </c>
      <c r="BA2226">
        <v>2000</v>
      </c>
      <c r="BB2226">
        <v>2000</v>
      </c>
      <c r="BC2226">
        <v>2000</v>
      </c>
      <c r="BD2226">
        <v>1317</v>
      </c>
    </row>
    <row r="2227" spans="1:56" x14ac:dyDescent="0.25">
      <c r="A2227" t="s">
        <v>201</v>
      </c>
      <c r="B2227" t="s">
        <v>198</v>
      </c>
      <c r="C2227" t="s">
        <v>348</v>
      </c>
      <c r="D2227">
        <v>21414.959245615599</v>
      </c>
      <c r="E2227">
        <v>20000</v>
      </c>
      <c r="F2227">
        <v>6000</v>
      </c>
      <c r="G2227">
        <v>55000</v>
      </c>
      <c r="H2227">
        <v>10073.45418846736</v>
      </c>
      <c r="I2227">
        <v>10000</v>
      </c>
      <c r="J2227">
        <v>1300</v>
      </c>
      <c r="K2227">
        <v>20000</v>
      </c>
      <c r="L2227">
        <v>12384.576791051401</v>
      </c>
      <c r="M2227">
        <v>15000</v>
      </c>
      <c r="N2227">
        <v>10000</v>
      </c>
      <c r="O2227">
        <v>20000</v>
      </c>
      <c r="P2227">
        <v>2500</v>
      </c>
      <c r="Q2227">
        <v>2500</v>
      </c>
      <c r="R2227">
        <v>2500</v>
      </c>
      <c r="S2227">
        <v>2500</v>
      </c>
      <c r="T2227">
        <v>6174.8642300408128</v>
      </c>
      <c r="U2227">
        <v>6000</v>
      </c>
      <c r="V2227">
        <v>2000</v>
      </c>
      <c r="W2227">
        <v>16000</v>
      </c>
      <c r="X2227">
        <v>5208.1193867785851</v>
      </c>
      <c r="Y2227">
        <v>3800</v>
      </c>
      <c r="Z2227">
        <v>2300</v>
      </c>
      <c r="AA2227">
        <v>14000</v>
      </c>
      <c r="AB2227">
        <v>4781.2821682745562</v>
      </c>
      <c r="AC2227">
        <v>6200</v>
      </c>
      <c r="AD2227">
        <v>800</v>
      </c>
      <c r="AE2227">
        <v>13000</v>
      </c>
      <c r="AN2227">
        <v>1265.7975769507559</v>
      </c>
      <c r="AO2227">
        <v>1500</v>
      </c>
      <c r="AP2227">
        <v>600</v>
      </c>
      <c r="AQ2227">
        <v>1500</v>
      </c>
      <c r="AR2227">
        <v>4387.2016795223044</v>
      </c>
      <c r="AS2227">
        <v>5000</v>
      </c>
      <c r="AT2227">
        <v>2000</v>
      </c>
      <c r="AU2227">
        <v>5000</v>
      </c>
      <c r="BD2227">
        <v>1317</v>
      </c>
    </row>
    <row r="2228" spans="1:56" x14ac:dyDescent="0.25">
      <c r="A2228" t="s">
        <v>201</v>
      </c>
      <c r="B2228" t="s">
        <v>198</v>
      </c>
      <c r="C2228" t="s">
        <v>349</v>
      </c>
      <c r="D2228">
        <v>21248.979714476711</v>
      </c>
      <c r="E2228">
        <v>19000</v>
      </c>
      <c r="F2228">
        <v>2000</v>
      </c>
      <c r="G2228">
        <v>66000</v>
      </c>
      <c r="H2228">
        <v>9982.6967513807467</v>
      </c>
      <c r="I2228">
        <v>5000</v>
      </c>
      <c r="J2228">
        <v>500</v>
      </c>
      <c r="K2228">
        <v>45000</v>
      </c>
      <c r="L2228">
        <v>10000</v>
      </c>
      <c r="M2228">
        <v>10000</v>
      </c>
      <c r="N2228">
        <v>10000</v>
      </c>
      <c r="O2228">
        <v>10000</v>
      </c>
      <c r="P2228">
        <v>6999.9999999999991</v>
      </c>
      <c r="Q2228">
        <v>7000</v>
      </c>
      <c r="R2228">
        <v>7000</v>
      </c>
      <c r="S2228">
        <v>7000</v>
      </c>
      <c r="T2228">
        <v>5073.7956098724289</v>
      </c>
      <c r="U2228">
        <v>5000</v>
      </c>
      <c r="V2228">
        <v>2000</v>
      </c>
      <c r="W2228">
        <v>16000</v>
      </c>
      <c r="X2228">
        <v>5375.9566530190441</v>
      </c>
      <c r="Y2228">
        <v>5200</v>
      </c>
      <c r="Z2228">
        <v>2300</v>
      </c>
      <c r="AA2228">
        <v>10000</v>
      </c>
      <c r="AB2228">
        <v>3578.3090614072398</v>
      </c>
      <c r="AC2228">
        <v>2800</v>
      </c>
      <c r="AD2228">
        <v>860</v>
      </c>
      <c r="AE2228">
        <v>20000</v>
      </c>
      <c r="AJ2228">
        <v>8591.393856474182</v>
      </c>
      <c r="AK2228">
        <v>10000</v>
      </c>
      <c r="AL2228">
        <v>2000</v>
      </c>
      <c r="AM2228">
        <v>17000</v>
      </c>
      <c r="AN2228">
        <v>3899.8113249023431</v>
      </c>
      <c r="AO2228">
        <v>10800</v>
      </c>
      <c r="AP2228">
        <v>500</v>
      </c>
      <c r="AQ2228">
        <v>15000</v>
      </c>
      <c r="AR2228">
        <v>6660.6785426215829</v>
      </c>
      <c r="AS2228">
        <v>6000</v>
      </c>
      <c r="AT2228">
        <v>1500</v>
      </c>
      <c r="AU2228">
        <v>20000</v>
      </c>
      <c r="AV2228">
        <v>3000</v>
      </c>
      <c r="AW2228">
        <v>3000</v>
      </c>
      <c r="AX2228">
        <v>3000</v>
      </c>
      <c r="AY2228">
        <v>3000</v>
      </c>
      <c r="BD2228">
        <v>1317</v>
      </c>
    </row>
    <row r="2229" spans="1:56" x14ac:dyDescent="0.25">
      <c r="A2229" t="s">
        <v>201</v>
      </c>
      <c r="B2229" t="s">
        <v>198</v>
      </c>
      <c r="C2229" t="s">
        <v>350</v>
      </c>
      <c r="D2229">
        <v>15100.865825291359</v>
      </c>
      <c r="E2229">
        <v>20000</v>
      </c>
      <c r="F2229">
        <v>4000</v>
      </c>
      <c r="G2229">
        <v>30000</v>
      </c>
      <c r="H2229">
        <v>4434.7606740643087</v>
      </c>
      <c r="I2229">
        <v>2100</v>
      </c>
      <c r="J2229">
        <v>1500</v>
      </c>
      <c r="K2229">
        <v>15000</v>
      </c>
      <c r="L2229">
        <v>3000</v>
      </c>
      <c r="M2229">
        <v>3000</v>
      </c>
      <c r="N2229">
        <v>3000</v>
      </c>
      <c r="O2229">
        <v>3000</v>
      </c>
      <c r="P2229">
        <v>4000</v>
      </c>
      <c r="Q2229">
        <v>4000</v>
      </c>
      <c r="R2229">
        <v>4000</v>
      </c>
      <c r="S2229">
        <v>4000</v>
      </c>
      <c r="T2229">
        <v>4497.1346282449367</v>
      </c>
      <c r="U2229">
        <v>3000</v>
      </c>
      <c r="V2229">
        <v>2000</v>
      </c>
      <c r="W2229">
        <v>15000</v>
      </c>
      <c r="X2229">
        <v>5819.3058224089609</v>
      </c>
      <c r="Y2229">
        <v>5200</v>
      </c>
      <c r="Z2229">
        <v>2300</v>
      </c>
      <c r="AA2229">
        <v>12000</v>
      </c>
      <c r="AB2229">
        <v>3005.817334226253</v>
      </c>
      <c r="AC2229">
        <v>3000</v>
      </c>
      <c r="AD2229">
        <v>860</v>
      </c>
      <c r="AE2229">
        <v>7000</v>
      </c>
      <c r="AN2229">
        <v>14160.381231123691</v>
      </c>
      <c r="AO2229">
        <v>12000</v>
      </c>
      <c r="AP2229">
        <v>6400</v>
      </c>
      <c r="AQ2229">
        <v>21600</v>
      </c>
      <c r="AR2229">
        <v>14744.72629984434</v>
      </c>
      <c r="AS2229">
        <v>20000</v>
      </c>
      <c r="AT2229">
        <v>6000</v>
      </c>
      <c r="AU2229">
        <v>38000</v>
      </c>
      <c r="BD2229">
        <v>1317</v>
      </c>
    </row>
    <row r="2230" spans="1:56" x14ac:dyDescent="0.25">
      <c r="A2230" t="s">
        <v>202</v>
      </c>
      <c r="B2230" t="s">
        <v>198</v>
      </c>
      <c r="C2230" t="s">
        <v>348</v>
      </c>
      <c r="D2230">
        <v>18341.341058779792</v>
      </c>
      <c r="E2230">
        <v>19000</v>
      </c>
      <c r="F2230">
        <v>3500</v>
      </c>
      <c r="G2230">
        <v>50000</v>
      </c>
      <c r="H2230">
        <v>18351.996762597031</v>
      </c>
      <c r="I2230">
        <v>24000</v>
      </c>
      <c r="J2230">
        <v>2700</v>
      </c>
      <c r="K2230">
        <v>40000</v>
      </c>
      <c r="P2230">
        <v>3000</v>
      </c>
      <c r="Q2230">
        <v>3000</v>
      </c>
      <c r="R2230">
        <v>3000</v>
      </c>
      <c r="S2230">
        <v>3000</v>
      </c>
      <c r="T2230">
        <v>5533.71978291913</v>
      </c>
      <c r="U2230">
        <v>4600</v>
      </c>
      <c r="V2230">
        <v>2000</v>
      </c>
      <c r="W2230">
        <v>21000</v>
      </c>
      <c r="X2230">
        <v>6592.5181515918557</v>
      </c>
      <c r="Y2230">
        <v>5800</v>
      </c>
      <c r="Z2230">
        <v>2500</v>
      </c>
      <c r="AA2230">
        <v>17000</v>
      </c>
      <c r="AB2230">
        <v>5252.6251017150216</v>
      </c>
      <c r="AC2230">
        <v>2960</v>
      </c>
      <c r="AD2230">
        <v>800</v>
      </c>
      <c r="AE2230">
        <v>28000</v>
      </c>
      <c r="AJ2230">
        <v>4000</v>
      </c>
      <c r="AK2230">
        <v>4000</v>
      </c>
      <c r="AL2230">
        <v>4000</v>
      </c>
      <c r="AM2230">
        <v>4000</v>
      </c>
      <c r="AN2230">
        <v>7719.892095858695</v>
      </c>
      <c r="AO2230">
        <v>3200</v>
      </c>
      <c r="AP2230">
        <v>1500</v>
      </c>
      <c r="AQ2230">
        <v>33000</v>
      </c>
      <c r="AR2230">
        <v>32431.802788089499</v>
      </c>
      <c r="AS2230">
        <v>30000</v>
      </c>
      <c r="AT2230">
        <v>200</v>
      </c>
      <c r="AU2230">
        <v>150000</v>
      </c>
      <c r="BD2230">
        <v>1317</v>
      </c>
    </row>
    <row r="2231" spans="1:56" x14ac:dyDescent="0.25">
      <c r="A2231" t="s">
        <v>199</v>
      </c>
      <c r="B2231" t="s">
        <v>203</v>
      </c>
      <c r="C2231" t="s">
        <v>348</v>
      </c>
      <c r="D2231">
        <v>23881.856122098321</v>
      </c>
      <c r="E2231">
        <v>25000</v>
      </c>
      <c r="F2231">
        <v>6000</v>
      </c>
      <c r="G2231">
        <v>55000</v>
      </c>
      <c r="H2231">
        <v>15374.071708742011</v>
      </c>
      <c r="I2231">
        <v>25000</v>
      </c>
      <c r="J2231">
        <v>3700</v>
      </c>
      <c r="K2231">
        <v>28000</v>
      </c>
      <c r="P2231">
        <v>20000</v>
      </c>
      <c r="Q2231">
        <v>20000</v>
      </c>
      <c r="R2231">
        <v>20000</v>
      </c>
      <c r="S2231">
        <v>20000</v>
      </c>
      <c r="T2231">
        <v>8000.0000000000009</v>
      </c>
      <c r="U2231">
        <v>8000</v>
      </c>
      <c r="V2231">
        <v>8000</v>
      </c>
      <c r="W2231">
        <v>8000</v>
      </c>
      <c r="X2231">
        <v>6493.0199404788018</v>
      </c>
      <c r="Y2231">
        <v>9000</v>
      </c>
      <c r="Z2231">
        <v>3370</v>
      </c>
      <c r="AA2231">
        <v>9000</v>
      </c>
      <c r="AB2231">
        <v>1677.79756653448</v>
      </c>
      <c r="AC2231">
        <v>860</v>
      </c>
      <c r="AD2231">
        <v>860</v>
      </c>
      <c r="AE2231">
        <v>13000</v>
      </c>
      <c r="AF2231">
        <v>7000</v>
      </c>
      <c r="AG2231">
        <v>7000</v>
      </c>
      <c r="AH2231">
        <v>7000</v>
      </c>
      <c r="AI2231">
        <v>7000</v>
      </c>
      <c r="AJ2231">
        <v>20000</v>
      </c>
      <c r="AK2231">
        <v>20000</v>
      </c>
      <c r="AL2231">
        <v>20000</v>
      </c>
      <c r="AM2231">
        <v>20000</v>
      </c>
      <c r="AR2231">
        <v>4733.8733109413879</v>
      </c>
      <c r="AS2231">
        <v>5000</v>
      </c>
      <c r="AT2231">
        <v>3000</v>
      </c>
      <c r="AU2231">
        <v>10000</v>
      </c>
      <c r="BD2231">
        <v>1317</v>
      </c>
    </row>
    <row r="2232" spans="1:56" x14ac:dyDescent="0.25">
      <c r="A2232" t="s">
        <v>199</v>
      </c>
      <c r="B2232" t="s">
        <v>203</v>
      </c>
      <c r="C2232" t="s">
        <v>349</v>
      </c>
      <c r="D2232">
        <v>25349.77396626569</v>
      </c>
      <c r="E2232">
        <v>25000</v>
      </c>
      <c r="F2232">
        <v>3400</v>
      </c>
      <c r="G2232">
        <v>130000</v>
      </c>
      <c r="H2232">
        <v>8211.3671167804878</v>
      </c>
      <c r="I2232">
        <v>6500</v>
      </c>
      <c r="J2232">
        <v>1000</v>
      </c>
      <c r="K2232">
        <v>40000</v>
      </c>
      <c r="L2232">
        <v>51747.0680110135</v>
      </c>
      <c r="M2232">
        <v>60000</v>
      </c>
      <c r="N2232">
        <v>2500</v>
      </c>
      <c r="O2232">
        <v>100000</v>
      </c>
      <c r="P2232">
        <v>3449.5559395951559</v>
      </c>
      <c r="Q2232">
        <v>11000</v>
      </c>
      <c r="R2232">
        <v>500</v>
      </c>
      <c r="S2232">
        <v>11000</v>
      </c>
      <c r="T2232">
        <v>3308.339138616218</v>
      </c>
      <c r="U2232">
        <v>4000</v>
      </c>
      <c r="V2232">
        <v>2000</v>
      </c>
      <c r="W2232">
        <v>5000</v>
      </c>
      <c r="X2232">
        <v>5917.7176765710692</v>
      </c>
      <c r="Y2232">
        <v>5000</v>
      </c>
      <c r="Z2232">
        <v>2300</v>
      </c>
      <c r="AA2232">
        <v>24000</v>
      </c>
      <c r="AB2232">
        <v>4088.4041208072258</v>
      </c>
      <c r="AC2232">
        <v>860</v>
      </c>
      <c r="AD2232">
        <v>700</v>
      </c>
      <c r="AE2232">
        <v>40000</v>
      </c>
      <c r="AF2232">
        <v>3704.7042847396101</v>
      </c>
      <c r="AG2232">
        <v>1500</v>
      </c>
      <c r="AH2232">
        <v>417</v>
      </c>
      <c r="AI2232">
        <v>10000</v>
      </c>
      <c r="AJ2232">
        <v>7097.2275056516128</v>
      </c>
      <c r="AK2232">
        <v>10000</v>
      </c>
      <c r="AL2232">
        <v>2000</v>
      </c>
      <c r="AM2232">
        <v>10000</v>
      </c>
      <c r="AN2232">
        <v>13255.50651595309</v>
      </c>
      <c r="AO2232">
        <v>10000</v>
      </c>
      <c r="AP2232">
        <v>8500</v>
      </c>
      <c r="AQ2232">
        <v>63000</v>
      </c>
      <c r="AR2232">
        <v>6857.3011541039887</v>
      </c>
      <c r="AS2232">
        <v>10000</v>
      </c>
      <c r="AT2232">
        <v>2000</v>
      </c>
      <c r="AU2232">
        <v>15000</v>
      </c>
      <c r="AV2232">
        <v>3000</v>
      </c>
      <c r="AW2232">
        <v>3000</v>
      </c>
      <c r="AX2232">
        <v>3000</v>
      </c>
      <c r="AY2232">
        <v>3000</v>
      </c>
      <c r="AZ2232">
        <v>16949.937334045499</v>
      </c>
      <c r="BA2232">
        <v>30000</v>
      </c>
      <c r="BB2232">
        <v>1000</v>
      </c>
      <c r="BC2232">
        <v>70000</v>
      </c>
      <c r="BD2232">
        <v>1317</v>
      </c>
    </row>
    <row r="2233" spans="1:56" x14ac:dyDescent="0.25">
      <c r="A2233" t="s">
        <v>199</v>
      </c>
      <c r="B2233" t="s">
        <v>203</v>
      </c>
      <c r="C2233" t="s">
        <v>350</v>
      </c>
      <c r="D2233">
        <v>21337.857788252652</v>
      </c>
      <c r="E2233">
        <v>15000</v>
      </c>
      <c r="F2233">
        <v>1600</v>
      </c>
      <c r="G2233">
        <v>70000</v>
      </c>
      <c r="H2233">
        <v>11228.85089736891</v>
      </c>
      <c r="I2233">
        <v>8000</v>
      </c>
      <c r="J2233">
        <v>500</v>
      </c>
      <c r="K2233">
        <v>25000</v>
      </c>
      <c r="L2233">
        <v>77732.895042985183</v>
      </c>
      <c r="M2233">
        <v>25000</v>
      </c>
      <c r="N2233">
        <v>2100</v>
      </c>
      <c r="O2233">
        <v>300000</v>
      </c>
      <c r="P2233">
        <v>6133.8115276167637</v>
      </c>
      <c r="Q2233">
        <v>6000</v>
      </c>
      <c r="R2233">
        <v>2000</v>
      </c>
      <c r="S2233">
        <v>10000</v>
      </c>
      <c r="T2233">
        <v>5534.0316334740182</v>
      </c>
      <c r="U2233">
        <v>5000</v>
      </c>
      <c r="V2233">
        <v>2000</v>
      </c>
      <c r="W2233">
        <v>11000</v>
      </c>
      <c r="X2233">
        <v>7206.663141469061</v>
      </c>
      <c r="Y2233">
        <v>6400</v>
      </c>
      <c r="Z2233">
        <v>2300</v>
      </c>
      <c r="AA2233">
        <v>30000</v>
      </c>
      <c r="AB2233">
        <v>3584.9686094149629</v>
      </c>
      <c r="AC2233">
        <v>3000</v>
      </c>
      <c r="AD2233">
        <v>500</v>
      </c>
      <c r="AE2233">
        <v>27000</v>
      </c>
      <c r="AF2233">
        <v>4250</v>
      </c>
      <c r="AG2233">
        <v>4000</v>
      </c>
      <c r="AH2233">
        <v>3000</v>
      </c>
      <c r="AI2233">
        <v>5000</v>
      </c>
      <c r="AJ2233">
        <v>10140.47833656673</v>
      </c>
      <c r="AK2233">
        <v>15000</v>
      </c>
      <c r="AL2233">
        <v>1500</v>
      </c>
      <c r="AM2233">
        <v>20000</v>
      </c>
      <c r="AN2233">
        <v>5022.9216958367087</v>
      </c>
      <c r="AO2233">
        <v>4500</v>
      </c>
      <c r="AP2233">
        <v>500</v>
      </c>
      <c r="AQ2233">
        <v>20000</v>
      </c>
      <c r="AR2233">
        <v>16180.57142040578</v>
      </c>
      <c r="AS2233">
        <v>3000</v>
      </c>
      <c r="AT2233">
        <v>1000</v>
      </c>
      <c r="AU2233">
        <v>50000</v>
      </c>
      <c r="AZ2233">
        <v>2925.063180957442</v>
      </c>
      <c r="BA2233">
        <v>3000</v>
      </c>
      <c r="BB2233">
        <v>1200</v>
      </c>
      <c r="BC2233">
        <v>4000</v>
      </c>
      <c r="BD2233">
        <v>1317</v>
      </c>
    </row>
    <row r="2234" spans="1:56" x14ac:dyDescent="0.25">
      <c r="A2234" t="s">
        <v>200</v>
      </c>
      <c r="B2234" t="s">
        <v>203</v>
      </c>
      <c r="C2234" t="s">
        <v>348</v>
      </c>
      <c r="D2234">
        <v>34930.893113286089</v>
      </c>
      <c r="E2234">
        <v>27000</v>
      </c>
      <c r="F2234">
        <v>2800</v>
      </c>
      <c r="G2234">
        <v>250000</v>
      </c>
      <c r="H2234">
        <v>18778.57066692118</v>
      </c>
      <c r="I2234">
        <v>15000</v>
      </c>
      <c r="J2234">
        <v>4000</v>
      </c>
      <c r="K2234">
        <v>80000</v>
      </c>
      <c r="L2234">
        <v>49848.063363317589</v>
      </c>
      <c r="M2234">
        <v>50000</v>
      </c>
      <c r="N2234">
        <v>1000</v>
      </c>
      <c r="O2234">
        <v>100000</v>
      </c>
      <c r="P2234">
        <v>12109.2183886892</v>
      </c>
      <c r="Q2234">
        <v>15000</v>
      </c>
      <c r="R2234">
        <v>9000</v>
      </c>
      <c r="S2234">
        <v>15000</v>
      </c>
      <c r="T2234">
        <v>3523.975599521194</v>
      </c>
      <c r="U2234">
        <v>3000</v>
      </c>
      <c r="V2234">
        <v>2000</v>
      </c>
      <c r="W2234">
        <v>6000</v>
      </c>
      <c r="X2234">
        <v>6158.5009616782763</v>
      </c>
      <c r="Y2234">
        <v>5700</v>
      </c>
      <c r="Z2234">
        <v>2500</v>
      </c>
      <c r="AA2234">
        <v>23600</v>
      </c>
      <c r="AB2234">
        <v>2248.6946580638992</v>
      </c>
      <c r="AC2234">
        <v>860</v>
      </c>
      <c r="AD2234">
        <v>860</v>
      </c>
      <c r="AE2234">
        <v>22000</v>
      </c>
      <c r="AF2234">
        <v>8368.3158380090244</v>
      </c>
      <c r="AG2234">
        <v>10000</v>
      </c>
      <c r="AH2234">
        <v>6700</v>
      </c>
      <c r="AI2234">
        <v>20000</v>
      </c>
      <c r="AJ2234">
        <v>5487.3303091880571</v>
      </c>
      <c r="AK2234">
        <v>6000</v>
      </c>
      <c r="AL2234">
        <v>2000</v>
      </c>
      <c r="AM2234">
        <v>10000</v>
      </c>
      <c r="AR2234">
        <v>7564.4297762162223</v>
      </c>
      <c r="AS2234">
        <v>5000</v>
      </c>
      <c r="AT2234">
        <v>4000</v>
      </c>
      <c r="AU2234">
        <v>20000</v>
      </c>
      <c r="AZ2234">
        <v>3000</v>
      </c>
      <c r="BA2234">
        <v>3000</v>
      </c>
      <c r="BB2234">
        <v>3000</v>
      </c>
      <c r="BC2234">
        <v>3000</v>
      </c>
      <c r="BD2234">
        <v>1317</v>
      </c>
    </row>
    <row r="2235" spans="1:56" x14ac:dyDescent="0.25">
      <c r="A2235" t="s">
        <v>200</v>
      </c>
      <c r="B2235" t="s">
        <v>203</v>
      </c>
      <c r="C2235" t="s">
        <v>349</v>
      </c>
      <c r="D2235">
        <v>29327.919928730429</v>
      </c>
      <c r="E2235">
        <v>25000</v>
      </c>
      <c r="F2235">
        <v>6700</v>
      </c>
      <c r="G2235">
        <v>100000</v>
      </c>
      <c r="H2235">
        <v>6397.6393059570792</v>
      </c>
      <c r="I2235">
        <v>5000</v>
      </c>
      <c r="J2235">
        <v>500</v>
      </c>
      <c r="K2235">
        <v>15000</v>
      </c>
      <c r="L2235">
        <v>14425.26741539909</v>
      </c>
      <c r="M2235">
        <v>20000</v>
      </c>
      <c r="N2235">
        <v>2500</v>
      </c>
      <c r="O2235">
        <v>25000</v>
      </c>
      <c r="P2235">
        <v>3317.4498003143608</v>
      </c>
      <c r="Q2235">
        <v>3500</v>
      </c>
      <c r="R2235">
        <v>1000</v>
      </c>
      <c r="S2235">
        <v>3500</v>
      </c>
      <c r="T2235">
        <v>3298.3787665262262</v>
      </c>
      <c r="U2235">
        <v>6000</v>
      </c>
      <c r="V2235">
        <v>2000</v>
      </c>
      <c r="W2235">
        <v>6000</v>
      </c>
      <c r="X2235">
        <v>7606.9589458525079</v>
      </c>
      <c r="Y2235">
        <v>7000</v>
      </c>
      <c r="Z2235">
        <v>2700</v>
      </c>
      <c r="AA2235">
        <v>30000</v>
      </c>
      <c r="AB2235">
        <v>2696.5857427694541</v>
      </c>
      <c r="AC2235">
        <v>2000</v>
      </c>
      <c r="AD2235">
        <v>245</v>
      </c>
      <c r="AE2235">
        <v>14860</v>
      </c>
      <c r="AF2235">
        <v>4152.9971956677646</v>
      </c>
      <c r="AG2235">
        <v>5000</v>
      </c>
      <c r="AH2235">
        <v>290</v>
      </c>
      <c r="AI2235">
        <v>5000</v>
      </c>
      <c r="AJ2235">
        <v>3000</v>
      </c>
      <c r="AK2235">
        <v>4000</v>
      </c>
      <c r="AL2235">
        <v>2000</v>
      </c>
      <c r="AM2235">
        <v>4000</v>
      </c>
      <c r="AN2235">
        <v>10500</v>
      </c>
      <c r="AO2235">
        <v>10500</v>
      </c>
      <c r="AP2235">
        <v>10500</v>
      </c>
      <c r="AQ2235">
        <v>10500</v>
      </c>
      <c r="AR2235">
        <v>3307.59232616995</v>
      </c>
      <c r="AS2235">
        <v>2000</v>
      </c>
      <c r="AT2235">
        <v>500</v>
      </c>
      <c r="AU2235">
        <v>50000</v>
      </c>
      <c r="AZ2235">
        <v>6000</v>
      </c>
      <c r="BA2235">
        <v>6000</v>
      </c>
      <c r="BB2235">
        <v>6000</v>
      </c>
      <c r="BC2235">
        <v>6000</v>
      </c>
      <c r="BD2235">
        <v>1317</v>
      </c>
    </row>
    <row r="2236" spans="1:56" x14ac:dyDescent="0.25">
      <c r="A2236" t="s">
        <v>200</v>
      </c>
      <c r="B2236" t="s">
        <v>203</v>
      </c>
      <c r="C2236" t="s">
        <v>350</v>
      </c>
      <c r="D2236">
        <v>20783.287736659131</v>
      </c>
      <c r="E2236">
        <v>20000</v>
      </c>
      <c r="F2236">
        <v>2000</v>
      </c>
      <c r="G2236">
        <v>65000</v>
      </c>
      <c r="H2236">
        <v>10563.81964298759</v>
      </c>
      <c r="I2236">
        <v>17000</v>
      </c>
      <c r="J2236">
        <v>3000</v>
      </c>
      <c r="K2236">
        <v>18000</v>
      </c>
      <c r="L2236">
        <v>38320.060326173691</v>
      </c>
      <c r="M2236">
        <v>50000</v>
      </c>
      <c r="N2236">
        <v>20000</v>
      </c>
      <c r="O2236">
        <v>50000</v>
      </c>
      <c r="T2236">
        <v>4462.7476995111201</v>
      </c>
      <c r="U2236">
        <v>9000</v>
      </c>
      <c r="V2236">
        <v>3000</v>
      </c>
      <c r="W2236">
        <v>9000</v>
      </c>
      <c r="X2236">
        <v>7907.2507951696762</v>
      </c>
      <c r="Y2236">
        <v>8000</v>
      </c>
      <c r="Z2236">
        <v>2830</v>
      </c>
      <c r="AA2236">
        <v>19000</v>
      </c>
      <c r="AB2236">
        <v>3455.810819212466</v>
      </c>
      <c r="AC2236">
        <v>3200</v>
      </c>
      <c r="AD2236">
        <v>860</v>
      </c>
      <c r="AE2236">
        <v>10000</v>
      </c>
      <c r="AF2236">
        <v>500.00000000000011</v>
      </c>
      <c r="AG2236">
        <v>500</v>
      </c>
      <c r="AH2236">
        <v>500</v>
      </c>
      <c r="AI2236">
        <v>500</v>
      </c>
      <c r="AJ2236">
        <v>4121.1222870726206</v>
      </c>
      <c r="AK2236">
        <v>10000</v>
      </c>
      <c r="AL2236">
        <v>1000</v>
      </c>
      <c r="AM2236">
        <v>10000</v>
      </c>
      <c r="AN2236">
        <v>1500</v>
      </c>
      <c r="AO2236">
        <v>1500</v>
      </c>
      <c r="AP2236">
        <v>1500</v>
      </c>
      <c r="AQ2236">
        <v>1500</v>
      </c>
      <c r="AR2236">
        <v>6500</v>
      </c>
      <c r="AS2236">
        <v>3000</v>
      </c>
      <c r="AT2236">
        <v>3000</v>
      </c>
      <c r="AU2236">
        <v>10000</v>
      </c>
      <c r="AZ2236">
        <v>22715.06070234087</v>
      </c>
      <c r="BA2236">
        <v>42000</v>
      </c>
      <c r="BB2236">
        <v>500</v>
      </c>
      <c r="BC2236">
        <v>42000</v>
      </c>
      <c r="BD2236">
        <v>1317</v>
      </c>
    </row>
    <row r="2237" spans="1:56" x14ac:dyDescent="0.25">
      <c r="A2237" t="s">
        <v>201</v>
      </c>
      <c r="B2237" t="s">
        <v>203</v>
      </c>
      <c r="C2237" t="s">
        <v>348</v>
      </c>
      <c r="D2237">
        <v>20040.13914786846</v>
      </c>
      <c r="E2237">
        <v>17000</v>
      </c>
      <c r="F2237">
        <v>5000</v>
      </c>
      <c r="G2237">
        <v>65000</v>
      </c>
      <c r="H2237">
        <v>6848.3416504498437</v>
      </c>
      <c r="I2237">
        <v>5400</v>
      </c>
      <c r="J2237">
        <v>5000</v>
      </c>
      <c r="K2237">
        <v>14000</v>
      </c>
      <c r="T2237">
        <v>5402.2460137397456</v>
      </c>
      <c r="U2237">
        <v>6000</v>
      </c>
      <c r="V2237">
        <v>2000</v>
      </c>
      <c r="W2237">
        <v>10000</v>
      </c>
      <c r="X2237">
        <v>5904.4896345504849</v>
      </c>
      <c r="Y2237">
        <v>6800</v>
      </c>
      <c r="Z2237">
        <v>2300</v>
      </c>
      <c r="AA2237">
        <v>11000</v>
      </c>
      <c r="AB2237">
        <v>6866.0724765468813</v>
      </c>
      <c r="AC2237">
        <v>7000</v>
      </c>
      <c r="AD2237">
        <v>860</v>
      </c>
      <c r="AE2237">
        <v>25000</v>
      </c>
      <c r="AJ2237">
        <v>8241.2289465883805</v>
      </c>
      <c r="AK2237">
        <v>5000</v>
      </c>
      <c r="AL2237">
        <v>5000</v>
      </c>
      <c r="AM2237">
        <v>20000</v>
      </c>
      <c r="AR2237">
        <v>4813.9079594799623</v>
      </c>
      <c r="AS2237">
        <v>5000</v>
      </c>
      <c r="AT2237">
        <v>2000</v>
      </c>
      <c r="AU2237">
        <v>10000</v>
      </c>
      <c r="BD2237">
        <v>1317</v>
      </c>
    </row>
    <row r="2238" spans="1:56" x14ac:dyDescent="0.25">
      <c r="A2238" t="s">
        <v>201</v>
      </c>
      <c r="B2238" t="s">
        <v>203</v>
      </c>
      <c r="C2238" t="s">
        <v>349</v>
      </c>
      <c r="D2238">
        <v>28994.4768470419</v>
      </c>
      <c r="E2238">
        <v>28000</v>
      </c>
      <c r="F2238">
        <v>1700</v>
      </c>
      <c r="G2238">
        <v>73000</v>
      </c>
      <c r="H2238">
        <v>8039.1681360036546</v>
      </c>
      <c r="I2238">
        <v>6000</v>
      </c>
      <c r="J2238">
        <v>2000</v>
      </c>
      <c r="K2238">
        <v>30000</v>
      </c>
      <c r="L2238">
        <v>28728.258885309078</v>
      </c>
      <c r="M2238">
        <v>20000</v>
      </c>
      <c r="N2238">
        <v>2700</v>
      </c>
      <c r="O2238">
        <v>40000</v>
      </c>
      <c r="P2238">
        <v>5966.459427399077</v>
      </c>
      <c r="Q2238">
        <v>4000</v>
      </c>
      <c r="R2238">
        <v>300</v>
      </c>
      <c r="S2238">
        <v>40000</v>
      </c>
      <c r="T2238">
        <v>4441.4431475088077</v>
      </c>
      <c r="U2238">
        <v>5000</v>
      </c>
      <c r="V2238">
        <v>2000</v>
      </c>
      <c r="W2238">
        <v>20000</v>
      </c>
      <c r="X2238">
        <v>5209.0251863175145</v>
      </c>
      <c r="Y2238">
        <v>5000</v>
      </c>
      <c r="Z2238">
        <v>2300</v>
      </c>
      <c r="AA2238">
        <v>11000</v>
      </c>
      <c r="AB2238">
        <v>3170.6448057257971</v>
      </c>
      <c r="AC2238">
        <v>3000</v>
      </c>
      <c r="AD2238">
        <v>860</v>
      </c>
      <c r="AE2238">
        <v>10000</v>
      </c>
      <c r="AF2238">
        <v>6320.3618162129806</v>
      </c>
      <c r="AG2238">
        <v>4500</v>
      </c>
      <c r="AH2238">
        <v>2500</v>
      </c>
      <c r="AI2238">
        <v>55000</v>
      </c>
      <c r="AJ2238">
        <v>8954.3700953440693</v>
      </c>
      <c r="AK2238">
        <v>12000</v>
      </c>
      <c r="AL2238">
        <v>1500</v>
      </c>
      <c r="AM2238">
        <v>60000</v>
      </c>
      <c r="AN2238">
        <v>7560.7820859181484</v>
      </c>
      <c r="AO2238">
        <v>1500</v>
      </c>
      <c r="AP2238">
        <v>200</v>
      </c>
      <c r="AQ2238">
        <v>80000</v>
      </c>
      <c r="AR2238">
        <v>3125.600594494194</v>
      </c>
      <c r="AS2238">
        <v>2000</v>
      </c>
      <c r="AT2238">
        <v>500</v>
      </c>
      <c r="AU2238">
        <v>100000</v>
      </c>
      <c r="AV2238">
        <v>15547.22025570412</v>
      </c>
      <c r="AW2238">
        <v>25000</v>
      </c>
      <c r="AX2238">
        <v>5000</v>
      </c>
      <c r="AY2238">
        <v>25000</v>
      </c>
      <c r="AZ2238">
        <v>70000</v>
      </c>
      <c r="BA2238">
        <v>70000</v>
      </c>
      <c r="BB2238">
        <v>70000</v>
      </c>
      <c r="BC2238">
        <v>70000</v>
      </c>
      <c r="BD2238">
        <v>1317</v>
      </c>
    </row>
    <row r="2239" spans="1:56" x14ac:dyDescent="0.25">
      <c r="A2239" t="s">
        <v>201</v>
      </c>
      <c r="B2239" t="s">
        <v>203</v>
      </c>
      <c r="C2239" t="s">
        <v>350</v>
      </c>
      <c r="D2239">
        <v>16085.768200572369</v>
      </c>
      <c r="E2239">
        <v>18000</v>
      </c>
      <c r="F2239">
        <v>2000</v>
      </c>
      <c r="G2239">
        <v>120000</v>
      </c>
      <c r="H2239">
        <v>7857.4829262998846</v>
      </c>
      <c r="I2239">
        <v>10000</v>
      </c>
      <c r="J2239">
        <v>1000</v>
      </c>
      <c r="K2239">
        <v>15000</v>
      </c>
      <c r="L2239">
        <v>38386.796748294182</v>
      </c>
      <c r="M2239">
        <v>85000</v>
      </c>
      <c r="N2239">
        <v>3000</v>
      </c>
      <c r="O2239">
        <v>85000</v>
      </c>
      <c r="P2239">
        <v>8776.8771560362129</v>
      </c>
      <c r="Q2239">
        <v>10000</v>
      </c>
      <c r="R2239">
        <v>1500</v>
      </c>
      <c r="S2239">
        <v>30000</v>
      </c>
      <c r="T2239">
        <v>3208.2979333855001</v>
      </c>
      <c r="U2239">
        <v>4000</v>
      </c>
      <c r="V2239">
        <v>2000</v>
      </c>
      <c r="W2239">
        <v>8000</v>
      </c>
      <c r="X2239">
        <v>5289.3015371848433</v>
      </c>
      <c r="Y2239">
        <v>5000</v>
      </c>
      <c r="Z2239">
        <v>2350</v>
      </c>
      <c r="AA2239">
        <v>10000</v>
      </c>
      <c r="AB2239">
        <v>3357.7095639851459</v>
      </c>
      <c r="AC2239">
        <v>3500</v>
      </c>
      <c r="AD2239">
        <v>500</v>
      </c>
      <c r="AE2239">
        <v>6000</v>
      </c>
      <c r="AF2239">
        <v>8910.8869220068009</v>
      </c>
      <c r="AG2239">
        <v>7000</v>
      </c>
      <c r="AH2239">
        <v>7000</v>
      </c>
      <c r="AI2239">
        <v>12000</v>
      </c>
      <c r="AJ2239">
        <v>9732.6815425776895</v>
      </c>
      <c r="AK2239">
        <v>20000</v>
      </c>
      <c r="AL2239">
        <v>4000</v>
      </c>
      <c r="AM2239">
        <v>20000</v>
      </c>
      <c r="AN2239">
        <v>8974.0254710124245</v>
      </c>
      <c r="AO2239">
        <v>1500</v>
      </c>
      <c r="AP2239">
        <v>350</v>
      </c>
      <c r="AQ2239">
        <v>40000</v>
      </c>
      <c r="AR2239">
        <v>11022.766175668299</v>
      </c>
      <c r="AS2239">
        <v>15000</v>
      </c>
      <c r="AT2239">
        <v>2000</v>
      </c>
      <c r="AU2239">
        <v>20000</v>
      </c>
      <c r="AZ2239">
        <v>4600</v>
      </c>
      <c r="BA2239">
        <v>4500</v>
      </c>
      <c r="BB2239">
        <v>4500</v>
      </c>
      <c r="BC2239">
        <v>4700</v>
      </c>
      <c r="BD2239">
        <v>1317</v>
      </c>
    </row>
    <row r="2240" spans="1:56" x14ac:dyDescent="0.25">
      <c r="A2240" t="s">
        <v>202</v>
      </c>
      <c r="B2240" t="s">
        <v>203</v>
      </c>
      <c r="C2240" t="s">
        <v>348</v>
      </c>
      <c r="D2240">
        <v>32553.155732704359</v>
      </c>
      <c r="E2240">
        <v>28000</v>
      </c>
      <c r="F2240">
        <v>5800</v>
      </c>
      <c r="G2240">
        <v>140000</v>
      </c>
      <c r="H2240">
        <v>13362.87053362287</v>
      </c>
      <c r="I2240">
        <v>11000</v>
      </c>
      <c r="J2240">
        <v>5000</v>
      </c>
      <c r="K2240">
        <v>80000</v>
      </c>
      <c r="L2240">
        <v>27117.341345219531</v>
      </c>
      <c r="M2240">
        <v>21000</v>
      </c>
      <c r="N2240">
        <v>21000</v>
      </c>
      <c r="O2240">
        <v>40000</v>
      </c>
      <c r="X2240">
        <v>7147.6692544520583</v>
      </c>
      <c r="Y2240">
        <v>6000</v>
      </c>
      <c r="Z2240">
        <v>2400</v>
      </c>
      <c r="AA2240">
        <v>18000</v>
      </c>
      <c r="AB2240">
        <v>2530.9447810426041</v>
      </c>
      <c r="AC2240">
        <v>2315</v>
      </c>
      <c r="AD2240">
        <v>800</v>
      </c>
      <c r="AE2240">
        <v>10000</v>
      </c>
      <c r="AF2240">
        <v>7735.7488928826033</v>
      </c>
      <c r="AG2240">
        <v>10000</v>
      </c>
      <c r="AH2240">
        <v>1000</v>
      </c>
      <c r="AI2240">
        <v>13000</v>
      </c>
      <c r="AJ2240">
        <v>15461.59909415423</v>
      </c>
      <c r="AK2240">
        <v>20000</v>
      </c>
      <c r="AL2240">
        <v>4000</v>
      </c>
      <c r="AM2240">
        <v>30000</v>
      </c>
      <c r="AR2240">
        <v>4696.1922640333914</v>
      </c>
      <c r="AS2240">
        <v>4000</v>
      </c>
      <c r="AT2240">
        <v>1000</v>
      </c>
      <c r="AU2240">
        <v>10000</v>
      </c>
      <c r="BD2240">
        <v>1317</v>
      </c>
    </row>
    <row r="2241" spans="1:56" x14ac:dyDescent="0.25">
      <c r="A2241" t="s">
        <v>204</v>
      </c>
      <c r="B2241" t="s">
        <v>204</v>
      </c>
      <c r="C2241" t="s">
        <v>204</v>
      </c>
      <c r="D2241">
        <v>27760.430189018589</v>
      </c>
      <c r="E2241">
        <v>24000</v>
      </c>
      <c r="F2241">
        <v>1600</v>
      </c>
      <c r="G2241">
        <v>250000</v>
      </c>
      <c r="H2241">
        <v>12484.28291195645</v>
      </c>
      <c r="I2241">
        <v>10000</v>
      </c>
      <c r="J2241">
        <v>200</v>
      </c>
      <c r="K2241">
        <v>80000</v>
      </c>
      <c r="L2241">
        <v>44381.753331860098</v>
      </c>
      <c r="M2241">
        <v>35000</v>
      </c>
      <c r="N2241">
        <v>1000</v>
      </c>
      <c r="O2241">
        <v>300000</v>
      </c>
      <c r="P2241">
        <v>5811.6621826015762</v>
      </c>
      <c r="Q2241">
        <v>5000</v>
      </c>
      <c r="R2241">
        <v>300</v>
      </c>
      <c r="S2241">
        <v>40000</v>
      </c>
      <c r="T2241">
        <v>5393.8013120957103</v>
      </c>
      <c r="U2241">
        <v>5000</v>
      </c>
      <c r="V2241">
        <v>2000</v>
      </c>
      <c r="W2241">
        <v>23000</v>
      </c>
      <c r="X2241">
        <v>6672.7898743025871</v>
      </c>
      <c r="Y2241">
        <v>5600</v>
      </c>
      <c r="Z2241">
        <v>2300</v>
      </c>
      <c r="AA2241">
        <v>30000</v>
      </c>
      <c r="AB2241">
        <v>4172.6849463924809</v>
      </c>
      <c r="AC2241">
        <v>2315</v>
      </c>
      <c r="AD2241">
        <v>245</v>
      </c>
      <c r="AE2241">
        <v>340000</v>
      </c>
      <c r="AF2241">
        <v>5993.4615293622819</v>
      </c>
      <c r="AG2241">
        <v>6000</v>
      </c>
      <c r="AH2241">
        <v>290</v>
      </c>
      <c r="AI2241">
        <v>55000</v>
      </c>
      <c r="AJ2241">
        <v>8410.4932093843672</v>
      </c>
      <c r="AK2241">
        <v>6000</v>
      </c>
      <c r="AL2241">
        <v>1000</v>
      </c>
      <c r="AM2241">
        <v>60000</v>
      </c>
      <c r="AN2241">
        <v>8092.5418049963882</v>
      </c>
      <c r="AO2241">
        <v>3200</v>
      </c>
      <c r="AP2241">
        <v>200</v>
      </c>
      <c r="AQ2241">
        <v>80000</v>
      </c>
      <c r="AR2241">
        <v>11403.049096979679</v>
      </c>
      <c r="AS2241">
        <v>5000</v>
      </c>
      <c r="AT2241">
        <v>200</v>
      </c>
      <c r="AU2241">
        <v>150000</v>
      </c>
      <c r="AV2241">
        <v>3938.0192406278802</v>
      </c>
      <c r="AW2241">
        <v>3000</v>
      </c>
      <c r="AX2241">
        <v>1500</v>
      </c>
      <c r="AY2241">
        <v>25000</v>
      </c>
      <c r="AZ2241">
        <v>16455.56428890652</v>
      </c>
      <c r="BA2241">
        <v>9000</v>
      </c>
      <c r="BB2241">
        <v>500</v>
      </c>
      <c r="BC2241">
        <v>70000</v>
      </c>
      <c r="BD2241">
        <v>1317</v>
      </c>
    </row>
    <row r="2243" spans="1:56" x14ac:dyDescent="0.25">
      <c r="A2243" t="s">
        <v>662</v>
      </c>
    </row>
    <row r="2244" spans="1:56" x14ac:dyDescent="0.25">
      <c r="A2244" t="s">
        <v>189</v>
      </c>
      <c r="B2244" t="s">
        <v>190</v>
      </c>
      <c r="C2244" t="s">
        <v>191</v>
      </c>
      <c r="D2244" t="s">
        <v>192</v>
      </c>
      <c r="E2244" t="s">
        <v>193</v>
      </c>
      <c r="F2244" t="s">
        <v>194</v>
      </c>
      <c r="G2244" t="s">
        <v>195</v>
      </c>
      <c r="H2244" t="s">
        <v>196</v>
      </c>
    </row>
    <row r="2245" spans="1:56" x14ac:dyDescent="0.25">
      <c r="A2245" t="s">
        <v>197</v>
      </c>
      <c r="B2245" t="s">
        <v>198</v>
      </c>
      <c r="C2245">
        <v>6549.6401207223989</v>
      </c>
      <c r="D2245">
        <v>5000</v>
      </c>
      <c r="E2245">
        <v>750</v>
      </c>
      <c r="F2245">
        <v>50000</v>
      </c>
      <c r="G2245">
        <v>76</v>
      </c>
      <c r="H2245">
        <v>2330</v>
      </c>
    </row>
    <row r="2246" spans="1:56" x14ac:dyDescent="0.25">
      <c r="A2246" t="s">
        <v>199</v>
      </c>
      <c r="B2246" t="s">
        <v>198</v>
      </c>
      <c r="C2246">
        <v>8248.0824053493761</v>
      </c>
      <c r="D2246">
        <v>6300</v>
      </c>
      <c r="E2246">
        <v>286.66666666666703</v>
      </c>
      <c r="F2246">
        <v>113333.33333333299</v>
      </c>
      <c r="G2246">
        <v>338</v>
      </c>
      <c r="H2246">
        <v>2330</v>
      </c>
    </row>
    <row r="2247" spans="1:56" x14ac:dyDescent="0.25">
      <c r="A2247" t="s">
        <v>200</v>
      </c>
      <c r="B2247" t="s">
        <v>198</v>
      </c>
      <c r="C2247">
        <v>10004.92788980311</v>
      </c>
      <c r="D2247">
        <v>7000</v>
      </c>
      <c r="E2247">
        <v>600</v>
      </c>
      <c r="F2247">
        <v>75000</v>
      </c>
      <c r="G2247">
        <v>355</v>
      </c>
      <c r="H2247">
        <v>2330</v>
      </c>
    </row>
    <row r="2248" spans="1:56" x14ac:dyDescent="0.25">
      <c r="A2248" t="s">
        <v>201</v>
      </c>
      <c r="B2248" t="s">
        <v>198</v>
      </c>
      <c r="C2248">
        <v>7336.0692963388983</v>
      </c>
      <c r="D2248">
        <v>6000</v>
      </c>
      <c r="E2248">
        <v>250</v>
      </c>
      <c r="F2248">
        <v>33000</v>
      </c>
      <c r="G2248">
        <v>226</v>
      </c>
      <c r="H2248">
        <v>2330</v>
      </c>
    </row>
    <row r="2249" spans="1:56" x14ac:dyDescent="0.25">
      <c r="A2249" t="s">
        <v>202</v>
      </c>
      <c r="B2249" t="s">
        <v>198</v>
      </c>
      <c r="C2249">
        <v>9694.2845367059326</v>
      </c>
      <c r="D2249">
        <v>7715</v>
      </c>
      <c r="E2249">
        <v>215</v>
      </c>
      <c r="F2249">
        <v>75000</v>
      </c>
      <c r="G2249">
        <v>89</v>
      </c>
      <c r="H2249">
        <v>2330</v>
      </c>
    </row>
    <row r="2250" spans="1:56" x14ac:dyDescent="0.25">
      <c r="A2250" t="s">
        <v>199</v>
      </c>
      <c r="B2250" t="s">
        <v>203</v>
      </c>
      <c r="C2250">
        <v>9652.5863764088008</v>
      </c>
      <c r="D2250">
        <v>7500</v>
      </c>
      <c r="E2250">
        <v>166.666666666667</v>
      </c>
      <c r="F2250">
        <v>165000</v>
      </c>
      <c r="G2250">
        <v>450</v>
      </c>
      <c r="H2250">
        <v>2330</v>
      </c>
    </row>
    <row r="2251" spans="1:56" x14ac:dyDescent="0.25">
      <c r="A2251" t="s">
        <v>200</v>
      </c>
      <c r="B2251" t="s">
        <v>203</v>
      </c>
      <c r="C2251">
        <v>14305.33269978357</v>
      </c>
      <c r="D2251">
        <v>11000</v>
      </c>
      <c r="E2251">
        <v>215</v>
      </c>
      <c r="F2251">
        <v>250000</v>
      </c>
      <c r="G2251">
        <v>434</v>
      </c>
      <c r="H2251">
        <v>2330</v>
      </c>
    </row>
    <row r="2252" spans="1:56" x14ac:dyDescent="0.25">
      <c r="A2252" t="s">
        <v>201</v>
      </c>
      <c r="B2252" t="s">
        <v>203</v>
      </c>
      <c r="C2252">
        <v>9573.477721878784</v>
      </c>
      <c r="D2252">
        <v>8000</v>
      </c>
      <c r="E2252">
        <v>215</v>
      </c>
      <c r="F2252">
        <v>100000</v>
      </c>
      <c r="G2252">
        <v>279</v>
      </c>
      <c r="H2252">
        <v>2330</v>
      </c>
    </row>
    <row r="2253" spans="1:56" x14ac:dyDescent="0.25">
      <c r="A2253" t="s">
        <v>202</v>
      </c>
      <c r="B2253" t="s">
        <v>203</v>
      </c>
      <c r="C2253">
        <v>12341.059307046789</v>
      </c>
      <c r="D2253">
        <v>10050</v>
      </c>
      <c r="E2253">
        <v>206.4</v>
      </c>
      <c r="F2253">
        <v>43333.333333333299</v>
      </c>
      <c r="G2253">
        <v>83</v>
      </c>
      <c r="H2253">
        <v>2330</v>
      </c>
    </row>
    <row r="2254" spans="1:56" x14ac:dyDescent="0.25">
      <c r="A2254" t="s">
        <v>204</v>
      </c>
      <c r="B2254" t="s">
        <v>204</v>
      </c>
      <c r="C2254">
        <v>10706.720379135581</v>
      </c>
      <c r="D2254">
        <v>8000</v>
      </c>
      <c r="E2254">
        <v>166.666666666667</v>
      </c>
      <c r="F2254">
        <v>250000</v>
      </c>
      <c r="G2254">
        <v>2330</v>
      </c>
      <c r="H2254">
        <v>2330</v>
      </c>
    </row>
    <row r="2256" spans="1:56" x14ac:dyDescent="0.25">
      <c r="A2256" t="s">
        <v>663</v>
      </c>
    </row>
    <row r="2257" spans="1:10" x14ac:dyDescent="0.25">
      <c r="A2257" t="s">
        <v>189</v>
      </c>
      <c r="B2257" t="s">
        <v>190</v>
      </c>
      <c r="C2257" t="s">
        <v>206</v>
      </c>
      <c r="D2257" t="s">
        <v>529</v>
      </c>
      <c r="E2257" t="s">
        <v>191</v>
      </c>
      <c r="F2257" t="s">
        <v>192</v>
      </c>
      <c r="G2257" t="s">
        <v>193</v>
      </c>
      <c r="H2257" t="s">
        <v>194</v>
      </c>
      <c r="I2257" t="s">
        <v>195</v>
      </c>
      <c r="J2257" t="s">
        <v>196</v>
      </c>
    </row>
    <row r="2258" spans="1:10" x14ac:dyDescent="0.25">
      <c r="A2258" t="s">
        <v>197</v>
      </c>
      <c r="B2258" t="s">
        <v>198</v>
      </c>
      <c r="C2258" t="s">
        <v>228</v>
      </c>
      <c r="D2258" t="s">
        <v>530</v>
      </c>
      <c r="E2258">
        <v>6774.286709249368</v>
      </c>
      <c r="F2258">
        <v>5060</v>
      </c>
      <c r="G2258">
        <v>1000</v>
      </c>
      <c r="H2258">
        <v>50000</v>
      </c>
      <c r="I2258">
        <v>31</v>
      </c>
      <c r="J2258">
        <v>2330</v>
      </c>
    </row>
    <row r="2259" spans="1:10" x14ac:dyDescent="0.25">
      <c r="A2259" t="s">
        <v>197</v>
      </c>
      <c r="B2259" t="s">
        <v>198</v>
      </c>
      <c r="C2259" t="s">
        <v>229</v>
      </c>
      <c r="D2259" t="s">
        <v>530</v>
      </c>
      <c r="E2259">
        <v>6378.6731883297316</v>
      </c>
      <c r="F2259">
        <v>5000</v>
      </c>
      <c r="G2259">
        <v>750</v>
      </c>
      <c r="H2259">
        <v>28500</v>
      </c>
      <c r="I2259">
        <v>45</v>
      </c>
      <c r="J2259">
        <v>2330</v>
      </c>
    </row>
    <row r="2260" spans="1:10" x14ac:dyDescent="0.25">
      <c r="A2260" t="s">
        <v>199</v>
      </c>
      <c r="B2260" t="s">
        <v>198</v>
      </c>
      <c r="C2260" t="s">
        <v>228</v>
      </c>
      <c r="D2260" t="s">
        <v>530</v>
      </c>
      <c r="E2260">
        <v>7460.0170946153976</v>
      </c>
      <c r="F2260">
        <v>5000</v>
      </c>
      <c r="G2260">
        <v>500</v>
      </c>
      <c r="H2260">
        <v>113333.33333333299</v>
      </c>
      <c r="I2260">
        <v>135</v>
      </c>
      <c r="J2260">
        <v>2330</v>
      </c>
    </row>
    <row r="2261" spans="1:10" x14ac:dyDescent="0.25">
      <c r="A2261" t="s">
        <v>199</v>
      </c>
      <c r="B2261" t="s">
        <v>198</v>
      </c>
      <c r="C2261" t="s">
        <v>229</v>
      </c>
      <c r="D2261" t="s">
        <v>530</v>
      </c>
      <c r="E2261">
        <v>8550.4302341743896</v>
      </c>
      <c r="F2261">
        <v>7750</v>
      </c>
      <c r="G2261">
        <v>286.66666666666703</v>
      </c>
      <c r="H2261">
        <v>37000</v>
      </c>
      <c r="I2261">
        <v>196</v>
      </c>
      <c r="J2261">
        <v>2330</v>
      </c>
    </row>
    <row r="2262" spans="1:10" x14ac:dyDescent="0.25">
      <c r="A2262" t="s">
        <v>200</v>
      </c>
      <c r="B2262" t="s">
        <v>198</v>
      </c>
      <c r="C2262" t="s">
        <v>228</v>
      </c>
      <c r="D2262" t="s">
        <v>530</v>
      </c>
      <c r="E2262">
        <v>8617.8639184389212</v>
      </c>
      <c r="F2262">
        <v>6000</v>
      </c>
      <c r="G2262">
        <v>600</v>
      </c>
      <c r="H2262">
        <v>52000</v>
      </c>
      <c r="I2262">
        <v>103</v>
      </c>
      <c r="J2262">
        <v>2330</v>
      </c>
    </row>
    <row r="2263" spans="1:10" x14ac:dyDescent="0.25">
      <c r="A2263" t="s">
        <v>200</v>
      </c>
      <c r="B2263" t="s">
        <v>198</v>
      </c>
      <c r="C2263" t="s">
        <v>229</v>
      </c>
      <c r="D2263" t="s">
        <v>530</v>
      </c>
      <c r="E2263">
        <v>10409.124510443129</v>
      </c>
      <c r="F2263">
        <v>8000</v>
      </c>
      <c r="G2263">
        <v>666.66666666666697</v>
      </c>
      <c r="H2263">
        <v>75000</v>
      </c>
      <c r="I2263">
        <v>248</v>
      </c>
      <c r="J2263">
        <v>2330</v>
      </c>
    </row>
    <row r="2264" spans="1:10" x14ac:dyDescent="0.25">
      <c r="A2264" t="s">
        <v>201</v>
      </c>
      <c r="B2264" t="s">
        <v>198</v>
      </c>
      <c r="C2264" t="s">
        <v>228</v>
      </c>
      <c r="D2264" t="s">
        <v>530</v>
      </c>
      <c r="E2264">
        <v>6951.1279955884693</v>
      </c>
      <c r="F2264">
        <v>6000</v>
      </c>
      <c r="G2264">
        <v>500</v>
      </c>
      <c r="H2264">
        <v>25750</v>
      </c>
      <c r="I2264">
        <v>88</v>
      </c>
      <c r="J2264">
        <v>2330</v>
      </c>
    </row>
    <row r="2265" spans="1:10" x14ac:dyDescent="0.25">
      <c r="A2265" t="s">
        <v>201</v>
      </c>
      <c r="B2265" t="s">
        <v>198</v>
      </c>
      <c r="C2265" t="s">
        <v>229</v>
      </c>
      <c r="D2265" t="s">
        <v>530</v>
      </c>
      <c r="E2265">
        <v>7481.4222055603777</v>
      </c>
      <c r="F2265">
        <v>6000</v>
      </c>
      <c r="G2265">
        <v>250</v>
      </c>
      <c r="H2265">
        <v>33000</v>
      </c>
      <c r="I2265">
        <v>132</v>
      </c>
      <c r="J2265">
        <v>2330</v>
      </c>
    </row>
    <row r="2266" spans="1:10" s="29" customFormat="1" x14ac:dyDescent="0.25">
      <c r="A2266" s="29" t="s">
        <v>202</v>
      </c>
      <c r="B2266" s="29" t="s">
        <v>198</v>
      </c>
      <c r="C2266" s="29" t="s">
        <v>228</v>
      </c>
      <c r="D2266" s="29" t="s">
        <v>530</v>
      </c>
      <c r="E2266" s="29">
        <v>6869.7305338364904</v>
      </c>
      <c r="F2266" s="29">
        <v>5500</v>
      </c>
      <c r="G2266" s="29">
        <v>1800</v>
      </c>
      <c r="H2266" s="29">
        <v>22300</v>
      </c>
      <c r="I2266" s="29">
        <v>27</v>
      </c>
      <c r="J2266" s="29">
        <v>2330</v>
      </c>
    </row>
    <row r="2267" spans="1:10" x14ac:dyDescent="0.25">
      <c r="A2267" t="s">
        <v>202</v>
      </c>
      <c r="B2267" t="s">
        <v>198</v>
      </c>
      <c r="C2267" t="s">
        <v>229</v>
      </c>
      <c r="D2267" t="s">
        <v>530</v>
      </c>
      <c r="E2267">
        <v>10697.329609716489</v>
      </c>
      <c r="F2267">
        <v>8000</v>
      </c>
      <c r="G2267">
        <v>215</v>
      </c>
      <c r="H2267">
        <v>75000</v>
      </c>
      <c r="I2267">
        <v>62</v>
      </c>
      <c r="J2267">
        <v>2330</v>
      </c>
    </row>
    <row r="2268" spans="1:10" x14ac:dyDescent="0.25">
      <c r="A2268" t="s">
        <v>199</v>
      </c>
      <c r="B2268" t="s">
        <v>203</v>
      </c>
      <c r="C2268" t="s">
        <v>228</v>
      </c>
      <c r="D2268" t="s">
        <v>530</v>
      </c>
      <c r="E2268">
        <v>8187.8620056054524</v>
      </c>
      <c r="F2268">
        <v>5000</v>
      </c>
      <c r="G2268">
        <v>166.666666666667</v>
      </c>
      <c r="H2268">
        <v>41500</v>
      </c>
      <c r="I2268">
        <v>128</v>
      </c>
      <c r="J2268">
        <v>2330</v>
      </c>
    </row>
    <row r="2269" spans="1:10" x14ac:dyDescent="0.25">
      <c r="A2269" t="s">
        <v>199</v>
      </c>
      <c r="B2269" t="s">
        <v>203</v>
      </c>
      <c r="C2269" t="s">
        <v>229</v>
      </c>
      <c r="D2269" t="s">
        <v>530</v>
      </c>
      <c r="E2269">
        <v>9867.6335208195433</v>
      </c>
      <c r="F2269">
        <v>7750</v>
      </c>
      <c r="G2269">
        <v>286.66666666666703</v>
      </c>
      <c r="H2269">
        <v>165000</v>
      </c>
      <c r="I2269">
        <v>316</v>
      </c>
      <c r="J2269">
        <v>2330</v>
      </c>
    </row>
    <row r="2270" spans="1:10" x14ac:dyDescent="0.25">
      <c r="A2270" t="s">
        <v>200</v>
      </c>
      <c r="B2270" t="s">
        <v>203</v>
      </c>
      <c r="C2270" t="s">
        <v>228</v>
      </c>
      <c r="D2270" t="s">
        <v>530</v>
      </c>
      <c r="E2270">
        <v>13073.27678782462</v>
      </c>
      <c r="F2270">
        <v>8333.3333333333303</v>
      </c>
      <c r="G2270">
        <v>215</v>
      </c>
      <c r="H2270">
        <v>250000</v>
      </c>
      <c r="I2270">
        <v>137</v>
      </c>
      <c r="J2270">
        <v>2330</v>
      </c>
    </row>
    <row r="2271" spans="1:10" x14ac:dyDescent="0.25">
      <c r="A2271" t="s">
        <v>200</v>
      </c>
      <c r="B2271" t="s">
        <v>203</v>
      </c>
      <c r="C2271" t="s">
        <v>229</v>
      </c>
      <c r="D2271" t="s">
        <v>530</v>
      </c>
      <c r="E2271">
        <v>14609.29906081118</v>
      </c>
      <c r="F2271">
        <v>12500</v>
      </c>
      <c r="G2271">
        <v>215</v>
      </c>
      <c r="H2271">
        <v>70000</v>
      </c>
      <c r="I2271">
        <v>297</v>
      </c>
      <c r="J2271">
        <v>2330</v>
      </c>
    </row>
    <row r="2272" spans="1:10" x14ac:dyDescent="0.25">
      <c r="A2272" t="s">
        <v>201</v>
      </c>
      <c r="B2272" t="s">
        <v>203</v>
      </c>
      <c r="C2272" t="s">
        <v>228</v>
      </c>
      <c r="D2272" t="s">
        <v>530</v>
      </c>
      <c r="E2272">
        <v>9061.2292824870638</v>
      </c>
      <c r="F2272">
        <v>5000</v>
      </c>
      <c r="G2272">
        <v>215</v>
      </c>
      <c r="H2272">
        <v>100000</v>
      </c>
      <c r="I2272">
        <v>166</v>
      </c>
      <c r="J2272">
        <v>2330</v>
      </c>
    </row>
    <row r="2273" spans="1:10" x14ac:dyDescent="0.25">
      <c r="A2273" t="s">
        <v>201</v>
      </c>
      <c r="B2273" t="s">
        <v>203</v>
      </c>
      <c r="C2273" t="s">
        <v>229</v>
      </c>
      <c r="D2273" t="s">
        <v>530</v>
      </c>
      <c r="E2273">
        <v>9791.4321840329194</v>
      </c>
      <c r="F2273">
        <v>8750</v>
      </c>
      <c r="G2273">
        <v>215</v>
      </c>
      <c r="H2273">
        <v>30000</v>
      </c>
      <c r="I2273">
        <v>107</v>
      </c>
      <c r="J2273">
        <v>2330</v>
      </c>
    </row>
    <row r="2274" spans="1:10" x14ac:dyDescent="0.25">
      <c r="A2274" t="s">
        <v>202</v>
      </c>
      <c r="B2274" t="s">
        <v>203</v>
      </c>
      <c r="C2274" t="s">
        <v>228</v>
      </c>
      <c r="D2274" t="s">
        <v>530</v>
      </c>
      <c r="E2274">
        <v>9030.8500590703024</v>
      </c>
      <c r="F2274">
        <v>7994</v>
      </c>
      <c r="G2274">
        <v>206.4</v>
      </c>
      <c r="H2274">
        <v>21250</v>
      </c>
      <c r="I2274">
        <v>30</v>
      </c>
      <c r="J2274">
        <v>2330</v>
      </c>
    </row>
    <row r="2275" spans="1:10" x14ac:dyDescent="0.25">
      <c r="A2275" t="s">
        <v>202</v>
      </c>
      <c r="B2275" t="s">
        <v>203</v>
      </c>
      <c r="C2275" t="s">
        <v>229</v>
      </c>
      <c r="D2275" t="s">
        <v>530</v>
      </c>
      <c r="E2275">
        <v>13685.08831149443</v>
      </c>
      <c r="F2275">
        <v>11666.666666666701</v>
      </c>
      <c r="G2275">
        <v>286.66666666666703</v>
      </c>
      <c r="H2275">
        <v>43333.333333333299</v>
      </c>
      <c r="I2275">
        <v>53</v>
      </c>
      <c r="J2275">
        <v>2330</v>
      </c>
    </row>
    <row r="2276" spans="1:10" x14ac:dyDescent="0.25">
      <c r="A2276" t="s">
        <v>204</v>
      </c>
      <c r="B2276" t="s">
        <v>204</v>
      </c>
      <c r="C2276" t="s">
        <v>204</v>
      </c>
      <c r="D2276" t="s">
        <v>204</v>
      </c>
      <c r="E2276">
        <v>10706.720379135581</v>
      </c>
      <c r="F2276">
        <v>8000</v>
      </c>
      <c r="G2276">
        <v>166.666666666667</v>
      </c>
      <c r="H2276">
        <v>250000</v>
      </c>
      <c r="I2276">
        <v>2330</v>
      </c>
      <c r="J2276">
        <v>2330</v>
      </c>
    </row>
    <row r="2278" spans="1:10" x14ac:dyDescent="0.25">
      <c r="A2278" t="s">
        <v>664</v>
      </c>
    </row>
    <row r="2279" spans="1:10" x14ac:dyDescent="0.25">
      <c r="A2279" t="s">
        <v>189</v>
      </c>
      <c r="B2279" t="s">
        <v>190</v>
      </c>
      <c r="C2279" t="s">
        <v>206</v>
      </c>
      <c r="D2279" t="s">
        <v>529</v>
      </c>
      <c r="E2279" t="s">
        <v>191</v>
      </c>
      <c r="F2279" t="s">
        <v>192</v>
      </c>
      <c r="G2279" t="s">
        <v>193</v>
      </c>
      <c r="H2279" t="s">
        <v>194</v>
      </c>
      <c r="I2279" t="s">
        <v>195</v>
      </c>
      <c r="J2279" t="s">
        <v>196</v>
      </c>
    </row>
    <row r="2280" spans="1:10" x14ac:dyDescent="0.25">
      <c r="A2280" t="s">
        <v>197</v>
      </c>
      <c r="B2280" t="s">
        <v>198</v>
      </c>
      <c r="C2280" t="s">
        <v>348</v>
      </c>
      <c r="D2280" t="s">
        <v>532</v>
      </c>
      <c r="E2280">
        <v>6660.7267267826383</v>
      </c>
      <c r="F2280">
        <v>5000</v>
      </c>
      <c r="G2280">
        <v>750</v>
      </c>
      <c r="H2280">
        <v>50000</v>
      </c>
      <c r="I2280">
        <v>73</v>
      </c>
      <c r="J2280">
        <v>2330</v>
      </c>
    </row>
    <row r="2281" spans="1:10" s="29" customFormat="1" x14ac:dyDescent="0.25">
      <c r="A2281" s="29" t="s">
        <v>197</v>
      </c>
      <c r="B2281" s="29" t="s">
        <v>198</v>
      </c>
      <c r="C2281" s="29" t="s">
        <v>349</v>
      </c>
      <c r="D2281" s="29" t="s">
        <v>532</v>
      </c>
      <c r="E2281" s="29">
        <v>3575.555555555557</v>
      </c>
      <c r="F2281" s="29">
        <v>5060</v>
      </c>
      <c r="G2281" s="29">
        <v>2666.6666666666702</v>
      </c>
      <c r="H2281" s="29">
        <v>5060</v>
      </c>
      <c r="I2281" s="29">
        <v>3</v>
      </c>
      <c r="J2281" s="29">
        <v>2330</v>
      </c>
    </row>
    <row r="2282" spans="1:10" x14ac:dyDescent="0.25">
      <c r="A2282" t="s">
        <v>199</v>
      </c>
      <c r="B2282" t="s">
        <v>198</v>
      </c>
      <c r="C2282" t="s">
        <v>348</v>
      </c>
      <c r="D2282" t="s">
        <v>532</v>
      </c>
      <c r="E2282">
        <v>9101.8850772210299</v>
      </c>
      <c r="F2282">
        <v>6000</v>
      </c>
      <c r="G2282">
        <v>500</v>
      </c>
      <c r="H2282">
        <v>28000</v>
      </c>
      <c r="I2282">
        <v>52</v>
      </c>
      <c r="J2282">
        <v>2330</v>
      </c>
    </row>
    <row r="2283" spans="1:10" x14ac:dyDescent="0.25">
      <c r="A2283" t="s">
        <v>199</v>
      </c>
      <c r="B2283" t="s">
        <v>198</v>
      </c>
      <c r="C2283" t="s">
        <v>349</v>
      </c>
      <c r="D2283" t="s">
        <v>532</v>
      </c>
      <c r="E2283">
        <v>8263.7992949091022</v>
      </c>
      <c r="F2283">
        <v>7750</v>
      </c>
      <c r="G2283">
        <v>425</v>
      </c>
      <c r="H2283">
        <v>37000</v>
      </c>
      <c r="I2283">
        <v>105</v>
      </c>
      <c r="J2283">
        <v>2330</v>
      </c>
    </row>
    <row r="2284" spans="1:10" x14ac:dyDescent="0.25">
      <c r="A2284" t="s">
        <v>199</v>
      </c>
      <c r="B2284" t="s">
        <v>198</v>
      </c>
      <c r="C2284" t="s">
        <v>350</v>
      </c>
      <c r="D2284" t="s">
        <v>532</v>
      </c>
      <c r="E2284">
        <v>7976.0849496311848</v>
      </c>
      <c r="F2284">
        <v>6000</v>
      </c>
      <c r="G2284">
        <v>286.66666666666703</v>
      </c>
      <c r="H2284">
        <v>113333.33333333299</v>
      </c>
      <c r="I2284">
        <v>174</v>
      </c>
      <c r="J2284">
        <v>2330</v>
      </c>
    </row>
    <row r="2285" spans="1:10" x14ac:dyDescent="0.25">
      <c r="A2285" t="s">
        <v>200</v>
      </c>
      <c r="B2285" t="s">
        <v>198</v>
      </c>
      <c r="C2285" t="s">
        <v>348</v>
      </c>
      <c r="D2285" t="s">
        <v>532</v>
      </c>
      <c r="E2285">
        <v>10624.14099484663</v>
      </c>
      <c r="F2285">
        <v>8000</v>
      </c>
      <c r="G2285">
        <v>666.66666666666697</v>
      </c>
      <c r="H2285">
        <v>75000</v>
      </c>
      <c r="I2285">
        <v>218</v>
      </c>
      <c r="J2285">
        <v>2330</v>
      </c>
    </row>
    <row r="2286" spans="1:10" x14ac:dyDescent="0.25">
      <c r="A2286" t="s">
        <v>200</v>
      </c>
      <c r="B2286" t="s">
        <v>198</v>
      </c>
      <c r="C2286" t="s">
        <v>349</v>
      </c>
      <c r="D2286" t="s">
        <v>532</v>
      </c>
      <c r="E2286">
        <v>7350.3013229973903</v>
      </c>
      <c r="F2286">
        <v>5333.3333333333303</v>
      </c>
      <c r="G2286">
        <v>600</v>
      </c>
      <c r="H2286">
        <v>30000</v>
      </c>
      <c r="I2286">
        <v>59</v>
      </c>
      <c r="J2286">
        <v>2330</v>
      </c>
    </row>
    <row r="2287" spans="1:10" x14ac:dyDescent="0.25">
      <c r="A2287" t="s">
        <v>200</v>
      </c>
      <c r="B2287" t="s">
        <v>198</v>
      </c>
      <c r="C2287" t="s">
        <v>350</v>
      </c>
      <c r="D2287" t="s">
        <v>532</v>
      </c>
      <c r="E2287">
        <v>4913.1601246862747</v>
      </c>
      <c r="F2287">
        <v>4920</v>
      </c>
      <c r="G2287">
        <v>700</v>
      </c>
      <c r="H2287">
        <v>14200</v>
      </c>
      <c r="I2287">
        <v>74</v>
      </c>
      <c r="J2287">
        <v>2330</v>
      </c>
    </row>
    <row r="2288" spans="1:10" x14ac:dyDescent="0.25">
      <c r="A2288" t="s">
        <v>201</v>
      </c>
      <c r="B2288" t="s">
        <v>198</v>
      </c>
      <c r="C2288" t="s">
        <v>348</v>
      </c>
      <c r="D2288" t="s">
        <v>532</v>
      </c>
      <c r="E2288">
        <v>6804.7181498302871</v>
      </c>
      <c r="F2288">
        <v>6925</v>
      </c>
      <c r="G2288">
        <v>500</v>
      </c>
      <c r="H2288">
        <v>20000</v>
      </c>
      <c r="I2288">
        <v>57</v>
      </c>
      <c r="J2288">
        <v>2330</v>
      </c>
    </row>
    <row r="2289" spans="1:10" x14ac:dyDescent="0.25">
      <c r="A2289" t="s">
        <v>201</v>
      </c>
      <c r="B2289" t="s">
        <v>198</v>
      </c>
      <c r="C2289" t="s">
        <v>349</v>
      </c>
      <c r="D2289" t="s">
        <v>532</v>
      </c>
      <c r="E2289">
        <v>7536.9114737181189</v>
      </c>
      <c r="F2289">
        <v>6000</v>
      </c>
      <c r="G2289">
        <v>250</v>
      </c>
      <c r="H2289">
        <v>33000</v>
      </c>
      <c r="I2289">
        <v>111</v>
      </c>
      <c r="J2289">
        <v>2330</v>
      </c>
    </row>
    <row r="2290" spans="1:10" x14ac:dyDescent="0.25">
      <c r="A2290" t="s">
        <v>201</v>
      </c>
      <c r="B2290" t="s">
        <v>198</v>
      </c>
      <c r="C2290" t="s">
        <v>350</v>
      </c>
      <c r="D2290" t="s">
        <v>532</v>
      </c>
      <c r="E2290">
        <v>7712.2913998362856</v>
      </c>
      <c r="F2290">
        <v>6000</v>
      </c>
      <c r="G2290">
        <v>666.66666666666697</v>
      </c>
      <c r="H2290">
        <v>25750</v>
      </c>
      <c r="I2290">
        <v>52</v>
      </c>
      <c r="J2290">
        <v>2330</v>
      </c>
    </row>
    <row r="2291" spans="1:10" x14ac:dyDescent="0.25">
      <c r="A2291" t="s">
        <v>202</v>
      </c>
      <c r="B2291" t="s">
        <v>198</v>
      </c>
      <c r="C2291" t="s">
        <v>348</v>
      </c>
      <c r="D2291" t="s">
        <v>532</v>
      </c>
      <c r="E2291">
        <v>9694.2845367059326</v>
      </c>
      <c r="F2291">
        <v>7715</v>
      </c>
      <c r="G2291">
        <v>215</v>
      </c>
      <c r="H2291">
        <v>75000</v>
      </c>
      <c r="I2291">
        <v>89</v>
      </c>
      <c r="J2291">
        <v>2330</v>
      </c>
    </row>
    <row r="2292" spans="1:10" x14ac:dyDescent="0.25">
      <c r="A2292" t="s">
        <v>199</v>
      </c>
      <c r="B2292" t="s">
        <v>203</v>
      </c>
      <c r="C2292" t="s">
        <v>348</v>
      </c>
      <c r="D2292" t="s">
        <v>532</v>
      </c>
      <c r="E2292">
        <v>8188.7351736274022</v>
      </c>
      <c r="F2292">
        <v>8333.3333333333303</v>
      </c>
      <c r="G2292">
        <v>1685</v>
      </c>
      <c r="H2292">
        <v>28000</v>
      </c>
      <c r="I2292">
        <v>33</v>
      </c>
      <c r="J2292">
        <v>2330</v>
      </c>
    </row>
    <row r="2293" spans="1:10" x14ac:dyDescent="0.25">
      <c r="A2293" t="s">
        <v>199</v>
      </c>
      <c r="B2293" t="s">
        <v>203</v>
      </c>
      <c r="C2293" t="s">
        <v>349</v>
      </c>
      <c r="D2293" t="s">
        <v>532</v>
      </c>
      <c r="E2293">
        <v>9490.6751412284939</v>
      </c>
      <c r="F2293">
        <v>7925</v>
      </c>
      <c r="G2293">
        <v>383.33333333333297</v>
      </c>
      <c r="H2293">
        <v>65000</v>
      </c>
      <c r="I2293">
        <v>154</v>
      </c>
      <c r="J2293">
        <v>2330</v>
      </c>
    </row>
    <row r="2294" spans="1:10" x14ac:dyDescent="0.25">
      <c r="A2294" t="s">
        <v>199</v>
      </c>
      <c r="B2294" t="s">
        <v>203</v>
      </c>
      <c r="C2294" t="s">
        <v>350</v>
      </c>
      <c r="D2294" t="s">
        <v>532</v>
      </c>
      <c r="E2294">
        <v>9893.299061017593</v>
      </c>
      <c r="F2294">
        <v>7000</v>
      </c>
      <c r="G2294">
        <v>166.666666666667</v>
      </c>
      <c r="H2294">
        <v>165000</v>
      </c>
      <c r="I2294">
        <v>257</v>
      </c>
      <c r="J2294">
        <v>2330</v>
      </c>
    </row>
    <row r="2295" spans="1:10" x14ac:dyDescent="0.25">
      <c r="A2295" t="s">
        <v>200</v>
      </c>
      <c r="B2295" t="s">
        <v>203</v>
      </c>
      <c r="C2295" t="s">
        <v>348</v>
      </c>
      <c r="D2295" t="s">
        <v>532</v>
      </c>
      <c r="E2295">
        <v>14998.734284383199</v>
      </c>
      <c r="F2295">
        <v>11500</v>
      </c>
      <c r="G2295">
        <v>215</v>
      </c>
      <c r="H2295">
        <v>250000</v>
      </c>
      <c r="I2295">
        <v>251</v>
      </c>
      <c r="J2295">
        <v>2330</v>
      </c>
    </row>
    <row r="2296" spans="1:10" x14ac:dyDescent="0.25">
      <c r="A2296" t="s">
        <v>200</v>
      </c>
      <c r="B2296" t="s">
        <v>203</v>
      </c>
      <c r="C2296" t="s">
        <v>349</v>
      </c>
      <c r="D2296" t="s">
        <v>532</v>
      </c>
      <c r="E2296">
        <v>9964.5596099812374</v>
      </c>
      <c r="F2296">
        <v>7590</v>
      </c>
      <c r="G2296">
        <v>215</v>
      </c>
      <c r="H2296">
        <v>33333.333333333299</v>
      </c>
      <c r="I2296">
        <v>101</v>
      </c>
      <c r="J2296">
        <v>2330</v>
      </c>
    </row>
    <row r="2297" spans="1:10" x14ac:dyDescent="0.25">
      <c r="A2297" t="s">
        <v>200</v>
      </c>
      <c r="B2297" t="s">
        <v>203</v>
      </c>
      <c r="C2297" t="s">
        <v>350</v>
      </c>
      <c r="D2297" t="s">
        <v>532</v>
      </c>
      <c r="E2297">
        <v>7859.0352174746486</v>
      </c>
      <c r="F2297">
        <v>6100</v>
      </c>
      <c r="G2297">
        <v>215</v>
      </c>
      <c r="H2297">
        <v>26600</v>
      </c>
      <c r="I2297">
        <v>82</v>
      </c>
      <c r="J2297">
        <v>2330</v>
      </c>
    </row>
    <row r="2298" spans="1:10" x14ac:dyDescent="0.25">
      <c r="A2298" t="s">
        <v>201</v>
      </c>
      <c r="B2298" t="s">
        <v>203</v>
      </c>
      <c r="C2298" t="s">
        <v>348</v>
      </c>
      <c r="D2298" t="s">
        <v>532</v>
      </c>
      <c r="E2298">
        <v>8038.291725237742</v>
      </c>
      <c r="F2298">
        <v>6250</v>
      </c>
      <c r="G2298">
        <v>1400</v>
      </c>
      <c r="H2298">
        <v>36700</v>
      </c>
      <c r="I2298">
        <v>57</v>
      </c>
      <c r="J2298">
        <v>2330</v>
      </c>
    </row>
    <row r="2299" spans="1:10" x14ac:dyDescent="0.25">
      <c r="A2299" t="s">
        <v>201</v>
      </c>
      <c r="B2299" t="s">
        <v>203</v>
      </c>
      <c r="C2299" t="s">
        <v>349</v>
      </c>
      <c r="D2299" t="s">
        <v>532</v>
      </c>
      <c r="E2299">
        <v>10050.29392539163</v>
      </c>
      <c r="F2299">
        <v>9250</v>
      </c>
      <c r="G2299">
        <v>215</v>
      </c>
      <c r="H2299">
        <v>100000</v>
      </c>
      <c r="I2299">
        <v>126</v>
      </c>
      <c r="J2299">
        <v>2330</v>
      </c>
    </row>
    <row r="2300" spans="1:10" x14ac:dyDescent="0.25">
      <c r="A2300" t="s">
        <v>201</v>
      </c>
      <c r="B2300" t="s">
        <v>203</v>
      </c>
      <c r="C2300" t="s">
        <v>350</v>
      </c>
      <c r="D2300" t="s">
        <v>532</v>
      </c>
      <c r="E2300">
        <v>6742.3780819476488</v>
      </c>
      <c r="F2300">
        <v>5250</v>
      </c>
      <c r="G2300">
        <v>215</v>
      </c>
      <c r="H2300">
        <v>60000</v>
      </c>
      <c r="I2300">
        <v>90</v>
      </c>
      <c r="J2300">
        <v>2330</v>
      </c>
    </row>
    <row r="2301" spans="1:10" x14ac:dyDescent="0.25">
      <c r="A2301" t="s">
        <v>202</v>
      </c>
      <c r="B2301" t="s">
        <v>203</v>
      </c>
      <c r="C2301" t="s">
        <v>348</v>
      </c>
      <c r="D2301" t="s">
        <v>532</v>
      </c>
      <c r="E2301">
        <v>12341.059307046789</v>
      </c>
      <c r="F2301">
        <v>10050</v>
      </c>
      <c r="G2301">
        <v>206.4</v>
      </c>
      <c r="H2301">
        <v>43333.333333333299</v>
      </c>
      <c r="I2301">
        <v>83</v>
      </c>
      <c r="J2301">
        <v>2330</v>
      </c>
    </row>
    <row r="2302" spans="1:10" x14ac:dyDescent="0.25">
      <c r="A2302" t="s">
        <v>204</v>
      </c>
      <c r="B2302" t="s">
        <v>204</v>
      </c>
      <c r="C2302" t="s">
        <v>204</v>
      </c>
      <c r="D2302" t="s">
        <v>204</v>
      </c>
      <c r="E2302">
        <v>10706.720379135581</v>
      </c>
      <c r="F2302">
        <v>8000</v>
      </c>
      <c r="G2302">
        <v>166.666666666667</v>
      </c>
      <c r="H2302">
        <v>250000</v>
      </c>
      <c r="I2302">
        <v>2330</v>
      </c>
      <c r="J2302">
        <v>2330</v>
      </c>
    </row>
    <row r="2304" spans="1:10" x14ac:dyDescent="0.25">
      <c r="A2304" t="s">
        <v>665</v>
      </c>
    </row>
    <row r="2305" spans="1:56" x14ac:dyDescent="0.25">
      <c r="A2305" t="s">
        <v>189</v>
      </c>
      <c r="B2305" t="s">
        <v>190</v>
      </c>
      <c r="C2305" t="s">
        <v>666</v>
      </c>
      <c r="D2305" t="s">
        <v>667</v>
      </c>
      <c r="E2305" t="s">
        <v>668</v>
      </c>
      <c r="F2305" t="s">
        <v>669</v>
      </c>
      <c r="G2305" t="s">
        <v>670</v>
      </c>
      <c r="H2305" t="s">
        <v>671</v>
      </c>
      <c r="I2305" t="s">
        <v>672</v>
      </c>
      <c r="J2305" t="s">
        <v>673</v>
      </c>
      <c r="K2305" t="s">
        <v>674</v>
      </c>
      <c r="L2305" t="s">
        <v>675</v>
      </c>
      <c r="M2305" t="s">
        <v>676</v>
      </c>
      <c r="N2305" t="s">
        <v>677</v>
      </c>
      <c r="O2305" t="s">
        <v>678</v>
      </c>
      <c r="P2305" t="s">
        <v>679</v>
      </c>
      <c r="Q2305" t="s">
        <v>680</v>
      </c>
      <c r="R2305" t="s">
        <v>681</v>
      </c>
      <c r="S2305" t="s">
        <v>682</v>
      </c>
      <c r="T2305" t="s">
        <v>683</v>
      </c>
      <c r="U2305" t="s">
        <v>684</v>
      </c>
      <c r="V2305" t="s">
        <v>685</v>
      </c>
      <c r="W2305" t="s">
        <v>686</v>
      </c>
      <c r="X2305" t="s">
        <v>687</v>
      </c>
      <c r="Y2305" t="s">
        <v>688</v>
      </c>
      <c r="Z2305" t="s">
        <v>689</v>
      </c>
      <c r="AA2305" t="s">
        <v>690</v>
      </c>
      <c r="AB2305" t="s">
        <v>691</v>
      </c>
      <c r="AC2305" t="s">
        <v>692</v>
      </c>
      <c r="AD2305" t="s">
        <v>693</v>
      </c>
      <c r="AE2305" t="s">
        <v>694</v>
      </c>
      <c r="AF2305" t="s">
        <v>695</v>
      </c>
      <c r="AG2305" t="s">
        <v>696</v>
      </c>
      <c r="AH2305" t="s">
        <v>697</v>
      </c>
      <c r="AI2305" t="s">
        <v>698</v>
      </c>
      <c r="AJ2305" t="s">
        <v>699</v>
      </c>
      <c r="AK2305" t="s">
        <v>700</v>
      </c>
      <c r="AL2305" t="s">
        <v>701</v>
      </c>
      <c r="AM2305" t="s">
        <v>702</v>
      </c>
      <c r="AN2305" t="s">
        <v>703</v>
      </c>
      <c r="AO2305" t="s">
        <v>704</v>
      </c>
      <c r="AP2305" t="s">
        <v>705</v>
      </c>
      <c r="AQ2305" t="s">
        <v>706</v>
      </c>
      <c r="AR2305" t="s">
        <v>707</v>
      </c>
      <c r="AS2305" t="s">
        <v>708</v>
      </c>
      <c r="AT2305" t="s">
        <v>709</v>
      </c>
      <c r="AU2305" t="s">
        <v>710</v>
      </c>
      <c r="AV2305" t="s">
        <v>711</v>
      </c>
      <c r="AW2305" t="s">
        <v>712</v>
      </c>
      <c r="AX2305" t="s">
        <v>713</v>
      </c>
      <c r="AY2305" t="s">
        <v>714</v>
      </c>
      <c r="AZ2305" t="s">
        <v>715</v>
      </c>
      <c r="BA2305" t="s">
        <v>716</v>
      </c>
      <c r="BB2305" t="s">
        <v>717</v>
      </c>
      <c r="BC2305" t="s">
        <v>196</v>
      </c>
    </row>
    <row r="2306" spans="1:56" x14ac:dyDescent="0.25">
      <c r="A2306" t="s">
        <v>197</v>
      </c>
      <c r="B2306" t="s">
        <v>198</v>
      </c>
      <c r="C2306">
        <v>6700.6090532972921</v>
      </c>
      <c r="D2306">
        <v>5500</v>
      </c>
      <c r="E2306">
        <v>1625</v>
      </c>
      <c r="F2306">
        <v>30000</v>
      </c>
      <c r="G2306">
        <v>3218.597882796616</v>
      </c>
      <c r="H2306">
        <v>2500</v>
      </c>
      <c r="I2306">
        <v>100</v>
      </c>
      <c r="J2306">
        <v>11666.666666666701</v>
      </c>
      <c r="S2306">
        <v>1933.16400558753</v>
      </c>
      <c r="T2306">
        <v>2000</v>
      </c>
      <c r="U2306">
        <v>666.66666666666697</v>
      </c>
      <c r="V2306">
        <v>2800</v>
      </c>
      <c r="W2306">
        <v>3932.6785396237628</v>
      </c>
      <c r="X2306">
        <v>3000</v>
      </c>
      <c r="Y2306">
        <v>860</v>
      </c>
      <c r="Z2306">
        <v>20000</v>
      </c>
      <c r="AA2306">
        <v>2649.593958558411</v>
      </c>
      <c r="AB2306">
        <v>2333.3333333333298</v>
      </c>
      <c r="AC2306">
        <v>300</v>
      </c>
      <c r="AD2306">
        <v>7500</v>
      </c>
      <c r="AI2306">
        <v>2311.1461392727069</v>
      </c>
      <c r="AJ2306">
        <v>3333.3333333333298</v>
      </c>
      <c r="AK2306">
        <v>333.33333333333297</v>
      </c>
      <c r="AL2306">
        <v>6000</v>
      </c>
      <c r="AM2306">
        <v>15000</v>
      </c>
      <c r="AN2306">
        <v>15000</v>
      </c>
      <c r="AO2306">
        <v>15000</v>
      </c>
      <c r="AP2306">
        <v>15000</v>
      </c>
      <c r="AQ2306">
        <v>3833.333333333333</v>
      </c>
      <c r="AR2306">
        <v>7500</v>
      </c>
      <c r="AS2306">
        <v>1000</v>
      </c>
      <c r="AT2306">
        <v>7500</v>
      </c>
      <c r="AU2306">
        <v>3000</v>
      </c>
      <c r="AV2306">
        <v>3000</v>
      </c>
      <c r="AW2306">
        <v>3000</v>
      </c>
      <c r="AX2306">
        <v>3000</v>
      </c>
      <c r="BC2306">
        <v>1317</v>
      </c>
    </row>
    <row r="2307" spans="1:56" x14ac:dyDescent="0.25">
      <c r="A2307" t="s">
        <v>199</v>
      </c>
      <c r="B2307" t="s">
        <v>198</v>
      </c>
      <c r="C2307">
        <v>8537.6147021453453</v>
      </c>
      <c r="D2307">
        <v>6666.6666666666697</v>
      </c>
      <c r="E2307">
        <v>533.33333333333303</v>
      </c>
      <c r="F2307">
        <v>30000</v>
      </c>
      <c r="G2307">
        <v>4966.8614053117408</v>
      </c>
      <c r="H2307">
        <v>5500</v>
      </c>
      <c r="I2307">
        <v>66.6666666666667</v>
      </c>
      <c r="J2307">
        <v>37000</v>
      </c>
      <c r="K2307">
        <v>3105.916489020994</v>
      </c>
      <c r="L2307">
        <v>3000</v>
      </c>
      <c r="M2307">
        <v>3000</v>
      </c>
      <c r="N2307">
        <v>4000</v>
      </c>
      <c r="O2307">
        <v>1423.083242592611</v>
      </c>
      <c r="P2307">
        <v>1666.6666666666699</v>
      </c>
      <c r="Q2307">
        <v>166.666666666667</v>
      </c>
      <c r="R2307">
        <v>13000</v>
      </c>
      <c r="S2307">
        <v>1901.5277781154589</v>
      </c>
      <c r="T2307">
        <v>2000</v>
      </c>
      <c r="U2307">
        <v>333.33333333333297</v>
      </c>
      <c r="V2307">
        <v>7500</v>
      </c>
      <c r="W2307">
        <v>3271.6517414904279</v>
      </c>
      <c r="X2307">
        <v>2980</v>
      </c>
      <c r="Y2307">
        <v>287.5</v>
      </c>
      <c r="Z2307">
        <v>10000</v>
      </c>
      <c r="AA2307">
        <v>2284.94827980326</v>
      </c>
      <c r="AB2307">
        <v>1000</v>
      </c>
      <c r="AC2307">
        <v>125</v>
      </c>
      <c r="AD2307">
        <v>113333.33333333299</v>
      </c>
      <c r="AE2307">
        <v>170.66610156748399</v>
      </c>
      <c r="AF2307">
        <v>93.75</v>
      </c>
      <c r="AG2307">
        <v>93.75</v>
      </c>
      <c r="AH2307">
        <v>2500</v>
      </c>
      <c r="AI2307">
        <v>1557.755272022803</v>
      </c>
      <c r="AJ2307">
        <v>1500</v>
      </c>
      <c r="AK2307">
        <v>333.33333333333297</v>
      </c>
      <c r="AL2307">
        <v>8000</v>
      </c>
      <c r="AM2307">
        <v>1711.8645894467279</v>
      </c>
      <c r="AN2307">
        <v>1125</v>
      </c>
      <c r="AO2307">
        <v>150</v>
      </c>
      <c r="AP2307">
        <v>18250</v>
      </c>
      <c r="AQ2307">
        <v>4175.8516036455094</v>
      </c>
      <c r="AR2307">
        <v>3000</v>
      </c>
      <c r="AS2307">
        <v>500</v>
      </c>
      <c r="AT2307">
        <v>10000</v>
      </c>
      <c r="AU2307">
        <v>769.55289469196123</v>
      </c>
      <c r="AV2307">
        <v>500</v>
      </c>
      <c r="AW2307">
        <v>500</v>
      </c>
      <c r="AX2307">
        <v>1320</v>
      </c>
      <c r="AY2307">
        <v>5422.2245701881484</v>
      </c>
      <c r="AZ2307">
        <v>9000</v>
      </c>
      <c r="BA2307">
        <v>466.66666666666703</v>
      </c>
      <c r="BB2307">
        <v>15000</v>
      </c>
      <c r="BC2307">
        <v>1317</v>
      </c>
    </row>
    <row r="2308" spans="1:56" x14ac:dyDescent="0.25">
      <c r="A2308" t="s">
        <v>200</v>
      </c>
      <c r="B2308" t="s">
        <v>198</v>
      </c>
      <c r="C2308">
        <v>10098.713845292559</v>
      </c>
      <c r="D2308">
        <v>8000</v>
      </c>
      <c r="E2308">
        <v>375</v>
      </c>
      <c r="F2308">
        <v>52000</v>
      </c>
      <c r="G2308">
        <v>3468.960317263155</v>
      </c>
      <c r="H2308">
        <v>3600</v>
      </c>
      <c r="I2308">
        <v>28.571428571428601</v>
      </c>
      <c r="J2308">
        <v>10000</v>
      </c>
      <c r="K2308">
        <v>20581.357313868699</v>
      </c>
      <c r="L2308">
        <v>16666.666666666701</v>
      </c>
      <c r="M2308">
        <v>666.66666666666697</v>
      </c>
      <c r="N2308">
        <v>50000</v>
      </c>
      <c r="O2308">
        <v>2476.5144913163772</v>
      </c>
      <c r="P2308">
        <v>3750</v>
      </c>
      <c r="Q2308">
        <v>333.33333333333297</v>
      </c>
      <c r="R2308">
        <v>3750</v>
      </c>
      <c r="S2308">
        <v>1751.570556551882</v>
      </c>
      <c r="T2308">
        <v>2000</v>
      </c>
      <c r="U2308">
        <v>400</v>
      </c>
      <c r="V2308">
        <v>3333.3333333333298</v>
      </c>
      <c r="W2308">
        <v>2969.3751752448629</v>
      </c>
      <c r="X2308">
        <v>2666.6666666666702</v>
      </c>
      <c r="Y2308">
        <v>450</v>
      </c>
      <c r="Z2308">
        <v>10000</v>
      </c>
      <c r="AA2308">
        <v>1077.409112485662</v>
      </c>
      <c r="AB2308">
        <v>733.33333333333303</v>
      </c>
      <c r="AC2308">
        <v>86</v>
      </c>
      <c r="AD2308">
        <v>5300</v>
      </c>
      <c r="AE2308">
        <v>187.5</v>
      </c>
      <c r="AF2308">
        <v>187.5</v>
      </c>
      <c r="AG2308">
        <v>187.5</v>
      </c>
      <c r="AH2308">
        <v>187.5</v>
      </c>
      <c r="AI2308">
        <v>4693.0026634589767</v>
      </c>
      <c r="AJ2308">
        <v>10000</v>
      </c>
      <c r="AK2308">
        <v>833.33333333333303</v>
      </c>
      <c r="AL2308">
        <v>10000</v>
      </c>
      <c r="AM2308">
        <v>7896.9355661401987</v>
      </c>
      <c r="AN2308">
        <v>10800</v>
      </c>
      <c r="AO2308">
        <v>3533.3333333333298</v>
      </c>
      <c r="AP2308">
        <v>10800</v>
      </c>
      <c r="AQ2308">
        <v>3647.9245068923769</v>
      </c>
      <c r="AR2308">
        <v>3500</v>
      </c>
      <c r="AS2308">
        <v>200</v>
      </c>
      <c r="AT2308">
        <v>10000</v>
      </c>
      <c r="AU2308">
        <v>593.5172505863884</v>
      </c>
      <c r="AV2308">
        <v>285.71428571428601</v>
      </c>
      <c r="AW2308">
        <v>285.71428571428601</v>
      </c>
      <c r="AX2308">
        <v>1333.3333333333301</v>
      </c>
      <c r="AY2308">
        <v>11394.01757852216</v>
      </c>
      <c r="AZ2308">
        <v>16666.666666666701</v>
      </c>
      <c r="BA2308">
        <v>666.66666666666697</v>
      </c>
      <c r="BB2308">
        <v>16666.666666666701</v>
      </c>
      <c r="BC2308">
        <v>1317</v>
      </c>
    </row>
    <row r="2309" spans="1:56" x14ac:dyDescent="0.25">
      <c r="A2309" t="s">
        <v>201</v>
      </c>
      <c r="B2309" t="s">
        <v>198</v>
      </c>
      <c r="C2309">
        <v>7432.8140912576373</v>
      </c>
      <c r="D2309">
        <v>6000</v>
      </c>
      <c r="E2309">
        <v>714.28571428571399</v>
      </c>
      <c r="F2309">
        <v>33000</v>
      </c>
      <c r="G2309">
        <v>2964.6955481189111</v>
      </c>
      <c r="H2309">
        <v>2000</v>
      </c>
      <c r="I2309">
        <v>216.666666666667</v>
      </c>
      <c r="J2309">
        <v>9000</v>
      </c>
      <c r="K2309">
        <v>5730.6414019290851</v>
      </c>
      <c r="L2309">
        <v>15000</v>
      </c>
      <c r="M2309">
        <v>1500</v>
      </c>
      <c r="N2309">
        <v>15000</v>
      </c>
      <c r="O2309">
        <v>699.60782221361956</v>
      </c>
      <c r="P2309">
        <v>800</v>
      </c>
      <c r="Q2309">
        <v>500</v>
      </c>
      <c r="R2309">
        <v>1166.6666666666699</v>
      </c>
      <c r="S2309">
        <v>1934.174158273735</v>
      </c>
      <c r="T2309">
        <v>2000</v>
      </c>
      <c r="U2309">
        <v>333.33333333333297</v>
      </c>
      <c r="V2309">
        <v>8000</v>
      </c>
      <c r="W2309">
        <v>2405.9786636723552</v>
      </c>
      <c r="X2309">
        <v>1850</v>
      </c>
      <c r="Y2309">
        <v>433.33333333333297</v>
      </c>
      <c r="Z2309">
        <v>8000</v>
      </c>
      <c r="AA2309">
        <v>1799.7011622699169</v>
      </c>
      <c r="AB2309">
        <v>1180.5</v>
      </c>
      <c r="AC2309">
        <v>122.857142857143</v>
      </c>
      <c r="AD2309">
        <v>10800</v>
      </c>
      <c r="AI2309">
        <v>3294.76839837443</v>
      </c>
      <c r="AJ2309">
        <v>5000</v>
      </c>
      <c r="AK2309">
        <v>1500</v>
      </c>
      <c r="AL2309">
        <v>5666.6666666666697</v>
      </c>
      <c r="AM2309">
        <v>1431.312146254714</v>
      </c>
      <c r="AN2309">
        <v>1500</v>
      </c>
      <c r="AO2309">
        <v>83.3333333333333</v>
      </c>
      <c r="AP2309">
        <v>10800</v>
      </c>
      <c r="AQ2309">
        <v>2805.618409727891</v>
      </c>
      <c r="AR2309">
        <v>1833.3333333333301</v>
      </c>
      <c r="AS2309">
        <v>400</v>
      </c>
      <c r="AT2309">
        <v>19000</v>
      </c>
      <c r="AU2309">
        <v>3000</v>
      </c>
      <c r="AV2309">
        <v>3000</v>
      </c>
      <c r="AW2309">
        <v>3000</v>
      </c>
      <c r="AX2309">
        <v>3000</v>
      </c>
      <c r="BC2309">
        <v>1317</v>
      </c>
    </row>
    <row r="2310" spans="1:56" x14ac:dyDescent="0.25">
      <c r="A2310" t="s">
        <v>202</v>
      </c>
      <c r="B2310" t="s">
        <v>198</v>
      </c>
      <c r="C2310">
        <v>8562.6421519231353</v>
      </c>
      <c r="D2310">
        <v>7150</v>
      </c>
      <c r="E2310">
        <v>1166.6666666666699</v>
      </c>
      <c r="F2310">
        <v>30000</v>
      </c>
      <c r="G2310">
        <v>9488.5502616052727</v>
      </c>
      <c r="H2310">
        <v>12000</v>
      </c>
      <c r="I2310">
        <v>750</v>
      </c>
      <c r="J2310">
        <v>20000</v>
      </c>
      <c r="O2310">
        <v>750</v>
      </c>
      <c r="P2310">
        <v>750</v>
      </c>
      <c r="Q2310">
        <v>750</v>
      </c>
      <c r="R2310">
        <v>750</v>
      </c>
      <c r="S2310">
        <v>2038.145558475074</v>
      </c>
      <c r="T2310">
        <v>2000</v>
      </c>
      <c r="U2310">
        <v>500</v>
      </c>
      <c r="V2310">
        <v>5250</v>
      </c>
      <c r="W2310">
        <v>3738.2606244445428</v>
      </c>
      <c r="X2310">
        <v>2900</v>
      </c>
      <c r="Y2310">
        <v>1000</v>
      </c>
      <c r="Z2310">
        <v>12000</v>
      </c>
      <c r="AA2310">
        <v>1995.422087638578</v>
      </c>
      <c r="AB2310">
        <v>1500</v>
      </c>
      <c r="AC2310">
        <v>215</v>
      </c>
      <c r="AD2310">
        <v>22000</v>
      </c>
      <c r="AI2310">
        <v>1000</v>
      </c>
      <c r="AJ2310">
        <v>1000</v>
      </c>
      <c r="AK2310">
        <v>1000</v>
      </c>
      <c r="AL2310">
        <v>1000</v>
      </c>
      <c r="AM2310">
        <v>2001.7221070919511</v>
      </c>
      <c r="AN2310">
        <v>1800</v>
      </c>
      <c r="AO2310">
        <v>500</v>
      </c>
      <c r="AP2310">
        <v>6600</v>
      </c>
      <c r="AQ2310">
        <v>16086.706289008391</v>
      </c>
      <c r="AR2310">
        <v>15000</v>
      </c>
      <c r="AS2310">
        <v>200</v>
      </c>
      <c r="AT2310">
        <v>75000</v>
      </c>
      <c r="BC2310">
        <v>1317</v>
      </c>
    </row>
    <row r="2311" spans="1:56" x14ac:dyDescent="0.25">
      <c r="A2311" t="s">
        <v>199</v>
      </c>
      <c r="B2311" t="s">
        <v>203</v>
      </c>
      <c r="C2311">
        <v>8077.9804905649153</v>
      </c>
      <c r="D2311">
        <v>7000</v>
      </c>
      <c r="E2311">
        <v>400</v>
      </c>
      <c r="F2311">
        <v>70000</v>
      </c>
      <c r="G2311">
        <v>4341.2818216466603</v>
      </c>
      <c r="H2311">
        <v>3000</v>
      </c>
      <c r="I2311">
        <v>166.666666666667</v>
      </c>
      <c r="J2311">
        <v>28000</v>
      </c>
      <c r="K2311">
        <v>26558.884270454881</v>
      </c>
      <c r="L2311">
        <v>30000</v>
      </c>
      <c r="M2311">
        <v>833.33333333333303</v>
      </c>
      <c r="N2311">
        <v>150000</v>
      </c>
      <c r="O2311">
        <v>1345.255416733635</v>
      </c>
      <c r="P2311">
        <v>1200</v>
      </c>
      <c r="Q2311">
        <v>166.666666666667</v>
      </c>
      <c r="R2311">
        <v>10000</v>
      </c>
      <c r="S2311">
        <v>1628.6976557352359</v>
      </c>
      <c r="T2311">
        <v>2000</v>
      </c>
      <c r="U2311">
        <v>400</v>
      </c>
      <c r="V2311">
        <v>8000</v>
      </c>
      <c r="W2311">
        <v>3738.1822365792641</v>
      </c>
      <c r="X2311">
        <v>3000</v>
      </c>
      <c r="Y2311">
        <v>416.66666666666703</v>
      </c>
      <c r="Z2311">
        <v>20000</v>
      </c>
      <c r="AA2311">
        <v>1350.883857263889</v>
      </c>
      <c r="AB2311">
        <v>500</v>
      </c>
      <c r="AC2311">
        <v>143.333333333333</v>
      </c>
      <c r="AD2311">
        <v>20000</v>
      </c>
      <c r="AE2311">
        <v>1465.743845773339</v>
      </c>
      <c r="AF2311">
        <v>1250</v>
      </c>
      <c r="AG2311">
        <v>104.25</v>
      </c>
      <c r="AH2311">
        <v>5000</v>
      </c>
      <c r="AI2311">
        <v>3705.700961784974</v>
      </c>
      <c r="AJ2311">
        <v>3000</v>
      </c>
      <c r="AK2311">
        <v>500</v>
      </c>
      <c r="AL2311">
        <v>10000</v>
      </c>
      <c r="AM2311">
        <v>3848.6405327952821</v>
      </c>
      <c r="AN2311">
        <v>4250</v>
      </c>
      <c r="AO2311">
        <v>166.666666666667</v>
      </c>
      <c r="AP2311">
        <v>21000</v>
      </c>
      <c r="AQ2311">
        <v>6151.4889217589198</v>
      </c>
      <c r="AR2311">
        <v>1500</v>
      </c>
      <c r="AS2311">
        <v>400</v>
      </c>
      <c r="AT2311">
        <v>25000</v>
      </c>
      <c r="AU2311">
        <v>3000</v>
      </c>
      <c r="AV2311">
        <v>3000</v>
      </c>
      <c r="AW2311">
        <v>3000</v>
      </c>
      <c r="AX2311">
        <v>3000</v>
      </c>
      <c r="AY2311">
        <v>3695.270179228859</v>
      </c>
      <c r="AZ2311">
        <v>2500</v>
      </c>
      <c r="BA2311">
        <v>240</v>
      </c>
      <c r="BB2311">
        <v>23333.333333333299</v>
      </c>
      <c r="BC2311">
        <v>1317</v>
      </c>
    </row>
    <row r="2312" spans="1:56" x14ac:dyDescent="0.25">
      <c r="A2312" t="s">
        <v>200</v>
      </c>
      <c r="B2312" t="s">
        <v>203</v>
      </c>
      <c r="C2312">
        <v>14420.592806806249</v>
      </c>
      <c r="D2312">
        <v>10000</v>
      </c>
      <c r="E2312">
        <v>666.66666666666697</v>
      </c>
      <c r="F2312">
        <v>250000</v>
      </c>
      <c r="G2312">
        <v>10809.22193123089</v>
      </c>
      <c r="H2312">
        <v>7500</v>
      </c>
      <c r="I2312">
        <v>250</v>
      </c>
      <c r="J2312">
        <v>35000</v>
      </c>
      <c r="K2312">
        <v>14933.25369432463</v>
      </c>
      <c r="L2312">
        <v>12500</v>
      </c>
      <c r="M2312">
        <v>500</v>
      </c>
      <c r="N2312">
        <v>40000</v>
      </c>
      <c r="O2312">
        <v>3608.8477089905432</v>
      </c>
      <c r="P2312">
        <v>5000</v>
      </c>
      <c r="Q2312">
        <v>500</v>
      </c>
      <c r="R2312">
        <v>5000</v>
      </c>
      <c r="S2312">
        <v>1326.869877818219</v>
      </c>
      <c r="T2312">
        <v>1333.3333333333301</v>
      </c>
      <c r="U2312">
        <v>333.33333333333297</v>
      </c>
      <c r="V2312">
        <v>2250</v>
      </c>
      <c r="W2312">
        <v>2885.0597288173531</v>
      </c>
      <c r="X2312">
        <v>2750</v>
      </c>
      <c r="Y2312">
        <v>312.5</v>
      </c>
      <c r="Z2312">
        <v>15000</v>
      </c>
      <c r="AA2312">
        <v>871.95769287769485</v>
      </c>
      <c r="AB2312">
        <v>286.66666666666703</v>
      </c>
      <c r="AC2312">
        <v>122.857142857143</v>
      </c>
      <c r="AD2312">
        <v>11000</v>
      </c>
      <c r="AE2312">
        <v>3442.26051372856</v>
      </c>
      <c r="AF2312">
        <v>3666.6666666666702</v>
      </c>
      <c r="AG2312">
        <v>96.6666666666667</v>
      </c>
      <c r="AH2312">
        <v>10000</v>
      </c>
      <c r="AI2312">
        <v>4290.6494332968878</v>
      </c>
      <c r="AJ2312">
        <v>6000</v>
      </c>
      <c r="AK2312">
        <v>500</v>
      </c>
      <c r="AL2312">
        <v>6000</v>
      </c>
      <c r="AM2312">
        <v>2684.5150279836162</v>
      </c>
      <c r="AN2312">
        <v>3500</v>
      </c>
      <c r="AO2312">
        <v>750</v>
      </c>
      <c r="AP2312">
        <v>3500</v>
      </c>
      <c r="AQ2312">
        <v>3121.2161060875792</v>
      </c>
      <c r="AR2312">
        <v>1666.6666666666699</v>
      </c>
      <c r="AS2312">
        <v>500</v>
      </c>
      <c r="AT2312">
        <v>10000</v>
      </c>
      <c r="AY2312">
        <v>3811.4263924821389</v>
      </c>
      <c r="AZ2312">
        <v>2000</v>
      </c>
      <c r="BA2312">
        <v>250</v>
      </c>
      <c r="BB2312">
        <v>14000</v>
      </c>
      <c r="BC2312">
        <v>1317</v>
      </c>
    </row>
    <row r="2313" spans="1:56" x14ac:dyDescent="0.25">
      <c r="A2313" t="s">
        <v>201</v>
      </c>
      <c r="B2313" t="s">
        <v>203</v>
      </c>
      <c r="C2313">
        <v>9891.2814690186933</v>
      </c>
      <c r="D2313">
        <v>8000</v>
      </c>
      <c r="E2313">
        <v>425</v>
      </c>
      <c r="F2313">
        <v>60000</v>
      </c>
      <c r="G2313">
        <v>2964.5744734507562</v>
      </c>
      <c r="H2313">
        <v>2333.3333333333298</v>
      </c>
      <c r="I2313">
        <v>333.33333333333297</v>
      </c>
      <c r="J2313">
        <v>10000</v>
      </c>
      <c r="K2313">
        <v>9771.8227632765811</v>
      </c>
      <c r="L2313">
        <v>10000</v>
      </c>
      <c r="M2313">
        <v>500</v>
      </c>
      <c r="N2313">
        <v>30000</v>
      </c>
      <c r="O2313">
        <v>1961.6522475452009</v>
      </c>
      <c r="P2313">
        <v>2000</v>
      </c>
      <c r="Q2313">
        <v>300</v>
      </c>
      <c r="R2313">
        <v>15000</v>
      </c>
      <c r="S2313">
        <v>1737.546985360922</v>
      </c>
      <c r="T2313">
        <v>2000</v>
      </c>
      <c r="U2313">
        <v>400</v>
      </c>
      <c r="V2313">
        <v>3000</v>
      </c>
      <c r="W2313">
        <v>2680.4536180779651</v>
      </c>
      <c r="X2313">
        <v>2500</v>
      </c>
      <c r="Y2313">
        <v>385.71428571428601</v>
      </c>
      <c r="Z2313">
        <v>7000</v>
      </c>
      <c r="AA2313">
        <v>1218.7119172541099</v>
      </c>
      <c r="AB2313">
        <v>1000</v>
      </c>
      <c r="AC2313">
        <v>143.333333333333</v>
      </c>
      <c r="AD2313">
        <v>8333.3333333333303</v>
      </c>
      <c r="AE2313">
        <v>2344.7662796063419</v>
      </c>
      <c r="AF2313">
        <v>1250</v>
      </c>
      <c r="AG2313">
        <v>833.33333333333303</v>
      </c>
      <c r="AH2313">
        <v>11000</v>
      </c>
      <c r="AI2313">
        <v>4395.6940791959869</v>
      </c>
      <c r="AJ2313">
        <v>2500</v>
      </c>
      <c r="AK2313">
        <v>666.66666666666697</v>
      </c>
      <c r="AL2313">
        <v>30000</v>
      </c>
      <c r="AM2313">
        <v>2310.8102290175748</v>
      </c>
      <c r="AN2313">
        <v>333.33333333333297</v>
      </c>
      <c r="AO2313">
        <v>87.5</v>
      </c>
      <c r="AP2313">
        <v>20000</v>
      </c>
      <c r="AQ2313">
        <v>1892.189414766772</v>
      </c>
      <c r="AR2313">
        <v>1400</v>
      </c>
      <c r="AS2313">
        <v>500</v>
      </c>
      <c r="AT2313">
        <v>100000</v>
      </c>
      <c r="AU2313">
        <v>5794.0267465262114</v>
      </c>
      <c r="AV2313">
        <v>8333.3333333333303</v>
      </c>
      <c r="AW2313">
        <v>2500</v>
      </c>
      <c r="AX2313">
        <v>8333.3333333333303</v>
      </c>
      <c r="AY2313">
        <v>2607.5961584129032</v>
      </c>
      <c r="AZ2313">
        <v>17500</v>
      </c>
      <c r="BA2313">
        <v>1125</v>
      </c>
      <c r="BB2313">
        <v>17500</v>
      </c>
      <c r="BC2313">
        <v>1317</v>
      </c>
    </row>
    <row r="2314" spans="1:56" x14ac:dyDescent="0.25">
      <c r="A2314" t="s">
        <v>202</v>
      </c>
      <c r="B2314" t="s">
        <v>203</v>
      </c>
      <c r="C2314">
        <v>11452.57538205458</v>
      </c>
      <c r="D2314">
        <v>10000</v>
      </c>
      <c r="E2314">
        <v>1600</v>
      </c>
      <c r="F2314">
        <v>35000</v>
      </c>
      <c r="G2314">
        <v>5576.3969327954974</v>
      </c>
      <c r="H2314">
        <v>5500</v>
      </c>
      <c r="I2314">
        <v>1450</v>
      </c>
      <c r="J2314">
        <v>20000</v>
      </c>
      <c r="K2314">
        <v>11185.54934146599</v>
      </c>
      <c r="L2314">
        <v>7000</v>
      </c>
      <c r="M2314">
        <v>7000</v>
      </c>
      <c r="N2314">
        <v>20000</v>
      </c>
      <c r="W2314">
        <v>3646.1348795047338</v>
      </c>
      <c r="X2314">
        <v>3900</v>
      </c>
      <c r="Y2314">
        <v>600</v>
      </c>
      <c r="Z2314">
        <v>12000</v>
      </c>
      <c r="AA2314">
        <v>1212.3087035807589</v>
      </c>
      <c r="AB2314">
        <v>1033.3333333333301</v>
      </c>
      <c r="AC2314">
        <v>206.4</v>
      </c>
      <c r="AD2314">
        <v>4000</v>
      </c>
      <c r="AE2314">
        <v>2563.1707285657039</v>
      </c>
      <c r="AF2314">
        <v>2666.6666666666702</v>
      </c>
      <c r="AG2314">
        <v>275</v>
      </c>
      <c r="AH2314">
        <v>5000</v>
      </c>
      <c r="AI2314">
        <v>4840.9364512859511</v>
      </c>
      <c r="AJ2314">
        <v>6000</v>
      </c>
      <c r="AK2314">
        <v>2000</v>
      </c>
      <c r="AL2314">
        <v>7500</v>
      </c>
      <c r="AQ2314">
        <v>2737.8176918151762</v>
      </c>
      <c r="AR2314">
        <v>3333.3333333333298</v>
      </c>
      <c r="AS2314">
        <v>400</v>
      </c>
      <c r="AT2314">
        <v>5000</v>
      </c>
      <c r="BC2314">
        <v>1317</v>
      </c>
    </row>
    <row r="2315" spans="1:56" x14ac:dyDescent="0.25">
      <c r="A2315" t="s">
        <v>204</v>
      </c>
      <c r="B2315" t="s">
        <v>204</v>
      </c>
      <c r="C2315">
        <v>10985.622614450671</v>
      </c>
      <c r="D2315">
        <v>8000</v>
      </c>
      <c r="E2315">
        <v>375</v>
      </c>
      <c r="F2315">
        <v>250000</v>
      </c>
      <c r="G2315">
        <v>6125.8807335167676</v>
      </c>
      <c r="H2315">
        <v>5000</v>
      </c>
      <c r="I2315">
        <v>28.571428571428601</v>
      </c>
      <c r="J2315">
        <v>37000</v>
      </c>
      <c r="K2315">
        <v>16103.819224385879</v>
      </c>
      <c r="L2315">
        <v>11666.666666666701</v>
      </c>
      <c r="M2315">
        <v>500</v>
      </c>
      <c r="N2315">
        <v>150000</v>
      </c>
      <c r="O2315">
        <v>1930.9837390009279</v>
      </c>
      <c r="P2315">
        <v>1500</v>
      </c>
      <c r="Q2315">
        <v>166.666666666667</v>
      </c>
      <c r="R2315">
        <v>15000</v>
      </c>
      <c r="S2315">
        <v>1883.8547115085821</v>
      </c>
      <c r="T2315">
        <v>2000</v>
      </c>
      <c r="U2315">
        <v>333.33333333333297</v>
      </c>
      <c r="V2315">
        <v>8000</v>
      </c>
      <c r="W2315">
        <v>3246.1683873287529</v>
      </c>
      <c r="X2315">
        <v>2800</v>
      </c>
      <c r="Y2315">
        <v>287.5</v>
      </c>
      <c r="Z2315">
        <v>20000</v>
      </c>
      <c r="AA2315">
        <v>1536.49823865536</v>
      </c>
      <c r="AB2315">
        <v>750</v>
      </c>
      <c r="AC2315">
        <v>86</v>
      </c>
      <c r="AD2315">
        <v>113333.33333333299</v>
      </c>
      <c r="AE2315">
        <v>2320.518805176484</v>
      </c>
      <c r="AF2315">
        <v>2500</v>
      </c>
      <c r="AG2315">
        <v>93.75</v>
      </c>
      <c r="AH2315">
        <v>11000</v>
      </c>
      <c r="AI2315">
        <v>3564.2455646408712</v>
      </c>
      <c r="AJ2315">
        <v>2500</v>
      </c>
      <c r="AK2315">
        <v>333.33333333333297</v>
      </c>
      <c r="AL2315">
        <v>30000</v>
      </c>
      <c r="AM2315">
        <v>2855.1426053542832</v>
      </c>
      <c r="AN2315">
        <v>1000</v>
      </c>
      <c r="AO2315">
        <v>83.3333333333333</v>
      </c>
      <c r="AP2315">
        <v>21000</v>
      </c>
      <c r="AQ2315">
        <v>5475.9880436642661</v>
      </c>
      <c r="AR2315">
        <v>2500</v>
      </c>
      <c r="AS2315">
        <v>200</v>
      </c>
      <c r="AT2315">
        <v>100000</v>
      </c>
      <c r="AU2315">
        <v>2397.7487721124221</v>
      </c>
      <c r="AV2315">
        <v>3000</v>
      </c>
      <c r="AW2315">
        <v>285.71428571428601</v>
      </c>
      <c r="AX2315">
        <v>8333.3333333333303</v>
      </c>
      <c r="AY2315">
        <v>5856.8204865562921</v>
      </c>
      <c r="AZ2315">
        <v>2500</v>
      </c>
      <c r="BA2315">
        <v>240</v>
      </c>
      <c r="BB2315">
        <v>23333.333333333299</v>
      </c>
      <c r="BC2315">
        <v>1317</v>
      </c>
    </row>
    <row r="2317" spans="1:56" x14ac:dyDescent="0.25">
      <c r="A2317" t="s">
        <v>718</v>
      </c>
    </row>
    <row r="2318" spans="1:56" x14ac:dyDescent="0.25">
      <c r="A2318" t="s">
        <v>189</v>
      </c>
      <c r="B2318" t="s">
        <v>190</v>
      </c>
      <c r="C2318" t="s">
        <v>206</v>
      </c>
      <c r="D2318" t="s">
        <v>666</v>
      </c>
      <c r="E2318" t="s">
        <v>667</v>
      </c>
      <c r="F2318" t="s">
        <v>668</v>
      </c>
      <c r="G2318" t="s">
        <v>669</v>
      </c>
      <c r="H2318" t="s">
        <v>670</v>
      </c>
      <c r="I2318" t="s">
        <v>671</v>
      </c>
      <c r="J2318" t="s">
        <v>672</v>
      </c>
      <c r="K2318" t="s">
        <v>673</v>
      </c>
      <c r="L2318" t="s">
        <v>674</v>
      </c>
      <c r="M2318" t="s">
        <v>675</v>
      </c>
      <c r="N2318" t="s">
        <v>676</v>
      </c>
      <c r="O2318" t="s">
        <v>677</v>
      </c>
      <c r="P2318" t="s">
        <v>678</v>
      </c>
      <c r="Q2318" t="s">
        <v>679</v>
      </c>
      <c r="R2318" t="s">
        <v>680</v>
      </c>
      <c r="S2318" t="s">
        <v>681</v>
      </c>
      <c r="T2318" t="s">
        <v>682</v>
      </c>
      <c r="U2318" t="s">
        <v>683</v>
      </c>
      <c r="V2318" t="s">
        <v>684</v>
      </c>
      <c r="W2318" t="s">
        <v>685</v>
      </c>
      <c r="X2318" t="s">
        <v>686</v>
      </c>
      <c r="Y2318" t="s">
        <v>687</v>
      </c>
      <c r="Z2318" t="s">
        <v>688</v>
      </c>
      <c r="AA2318" t="s">
        <v>689</v>
      </c>
      <c r="AB2318" t="s">
        <v>690</v>
      </c>
      <c r="AC2318" t="s">
        <v>691</v>
      </c>
      <c r="AD2318" t="s">
        <v>692</v>
      </c>
      <c r="AE2318" t="s">
        <v>693</v>
      </c>
      <c r="AF2318" t="s">
        <v>694</v>
      </c>
      <c r="AG2318" t="s">
        <v>695</v>
      </c>
      <c r="AH2318" t="s">
        <v>696</v>
      </c>
      <c r="AI2318" t="s">
        <v>697</v>
      </c>
      <c r="AJ2318" t="s">
        <v>698</v>
      </c>
      <c r="AK2318" t="s">
        <v>699</v>
      </c>
      <c r="AL2318" t="s">
        <v>700</v>
      </c>
      <c r="AM2318" t="s">
        <v>701</v>
      </c>
      <c r="AN2318" t="s">
        <v>702</v>
      </c>
      <c r="AO2318" t="s">
        <v>703</v>
      </c>
      <c r="AP2318" t="s">
        <v>704</v>
      </c>
      <c r="AQ2318" t="s">
        <v>705</v>
      </c>
      <c r="AR2318" t="s">
        <v>706</v>
      </c>
      <c r="AS2318" t="s">
        <v>707</v>
      </c>
      <c r="AT2318" t="s">
        <v>708</v>
      </c>
      <c r="AU2318" t="s">
        <v>709</v>
      </c>
      <c r="AV2318" t="s">
        <v>710</v>
      </c>
      <c r="AW2318" t="s">
        <v>711</v>
      </c>
      <c r="AX2318" t="s">
        <v>712</v>
      </c>
      <c r="AY2318" t="s">
        <v>713</v>
      </c>
      <c r="AZ2318" t="s">
        <v>714</v>
      </c>
      <c r="BA2318" t="s">
        <v>715</v>
      </c>
      <c r="BB2318" t="s">
        <v>716</v>
      </c>
      <c r="BC2318" t="s">
        <v>717</v>
      </c>
      <c r="BD2318" t="s">
        <v>196</v>
      </c>
    </row>
    <row r="2319" spans="1:56" x14ac:dyDescent="0.25">
      <c r="A2319" t="s">
        <v>197</v>
      </c>
      <c r="B2319" t="s">
        <v>198</v>
      </c>
      <c r="C2319" t="s">
        <v>228</v>
      </c>
      <c r="D2319">
        <v>7907.614539406718</v>
      </c>
      <c r="E2319">
        <v>5000</v>
      </c>
      <c r="F2319">
        <v>2000</v>
      </c>
      <c r="G2319">
        <v>30000</v>
      </c>
      <c r="H2319">
        <v>1481.5103617073489</v>
      </c>
      <c r="I2319">
        <v>2500</v>
      </c>
      <c r="J2319">
        <v>100</v>
      </c>
      <c r="K2319">
        <v>2500</v>
      </c>
      <c r="T2319">
        <v>1829.105004740449</v>
      </c>
      <c r="U2319">
        <v>2000</v>
      </c>
      <c r="V2319">
        <v>666.66666666666697</v>
      </c>
      <c r="W2319">
        <v>2800</v>
      </c>
      <c r="X2319">
        <v>5518.3301682725187</v>
      </c>
      <c r="Y2319">
        <v>6000</v>
      </c>
      <c r="Z2319">
        <v>860</v>
      </c>
      <c r="AA2319">
        <v>20000</v>
      </c>
      <c r="AB2319">
        <v>3946.4611495412901</v>
      </c>
      <c r="AC2319">
        <v>5000</v>
      </c>
      <c r="AD2319">
        <v>300</v>
      </c>
      <c r="AE2319">
        <v>7500</v>
      </c>
      <c r="AR2319">
        <v>1000</v>
      </c>
      <c r="AS2319">
        <v>1000</v>
      </c>
      <c r="AT2319">
        <v>1000</v>
      </c>
      <c r="AU2319">
        <v>1000</v>
      </c>
      <c r="AV2319">
        <v>3000</v>
      </c>
      <c r="AW2319">
        <v>3000</v>
      </c>
      <c r="AX2319">
        <v>3000</v>
      </c>
      <c r="AY2319">
        <v>3000</v>
      </c>
      <c r="BD2319">
        <v>1317</v>
      </c>
    </row>
    <row r="2320" spans="1:56" x14ac:dyDescent="0.25">
      <c r="A2320" t="s">
        <v>197</v>
      </c>
      <c r="B2320" t="s">
        <v>198</v>
      </c>
      <c r="C2320" t="s">
        <v>229</v>
      </c>
      <c r="D2320">
        <v>6180.1526790063708</v>
      </c>
      <c r="E2320">
        <v>6250</v>
      </c>
      <c r="F2320">
        <v>1625</v>
      </c>
      <c r="G2320">
        <v>15000</v>
      </c>
      <c r="H2320">
        <v>3959.3283248912448</v>
      </c>
      <c r="I2320">
        <v>2500</v>
      </c>
      <c r="J2320">
        <v>1666.6666666666699</v>
      </c>
      <c r="K2320">
        <v>11666.666666666701</v>
      </c>
      <c r="T2320">
        <v>2012.274627586746</v>
      </c>
      <c r="U2320">
        <v>2000</v>
      </c>
      <c r="V2320">
        <v>1000</v>
      </c>
      <c r="W2320">
        <v>2750</v>
      </c>
      <c r="X2320">
        <v>2210.8172647693159</v>
      </c>
      <c r="Y2320">
        <v>2400</v>
      </c>
      <c r="Z2320">
        <v>875</v>
      </c>
      <c r="AA2320">
        <v>5000</v>
      </c>
      <c r="AB2320">
        <v>1851.571686207493</v>
      </c>
      <c r="AC2320">
        <v>1933.3333333333301</v>
      </c>
      <c r="AD2320">
        <v>740</v>
      </c>
      <c r="AE2320">
        <v>5600</v>
      </c>
      <c r="AJ2320">
        <v>2311.1461392727069</v>
      </c>
      <c r="AK2320">
        <v>3333.3333333333298</v>
      </c>
      <c r="AL2320">
        <v>333.33333333333297</v>
      </c>
      <c r="AM2320">
        <v>6000</v>
      </c>
      <c r="AN2320">
        <v>15000</v>
      </c>
      <c r="AO2320">
        <v>15000</v>
      </c>
      <c r="AP2320">
        <v>15000</v>
      </c>
      <c r="AQ2320">
        <v>15000</v>
      </c>
      <c r="AR2320">
        <v>5249.9999999999991</v>
      </c>
      <c r="AS2320">
        <v>3000</v>
      </c>
      <c r="AT2320">
        <v>3000</v>
      </c>
      <c r="AU2320">
        <v>7500</v>
      </c>
      <c r="BD2320">
        <v>1317</v>
      </c>
    </row>
    <row r="2321" spans="1:56" x14ac:dyDescent="0.25">
      <c r="A2321" t="s">
        <v>199</v>
      </c>
      <c r="B2321" t="s">
        <v>198</v>
      </c>
      <c r="C2321" t="s">
        <v>228</v>
      </c>
      <c r="D2321">
        <v>9700.6352555246176</v>
      </c>
      <c r="E2321">
        <v>3333.3333333333298</v>
      </c>
      <c r="F2321">
        <v>833.33333333333303</v>
      </c>
      <c r="G2321">
        <v>27000</v>
      </c>
      <c r="H2321">
        <v>5335.8046153385039</v>
      </c>
      <c r="I2321">
        <v>8000</v>
      </c>
      <c r="J2321">
        <v>66.6666666666667</v>
      </c>
      <c r="K2321">
        <v>8000</v>
      </c>
      <c r="L2321">
        <v>3000</v>
      </c>
      <c r="M2321">
        <v>3000</v>
      </c>
      <c r="N2321">
        <v>3000</v>
      </c>
      <c r="O2321">
        <v>3000</v>
      </c>
      <c r="P2321">
        <v>973.82452078861547</v>
      </c>
      <c r="Q2321">
        <v>1666.6666666666699</v>
      </c>
      <c r="R2321">
        <v>166.666666666667</v>
      </c>
      <c r="S2321">
        <v>5000</v>
      </c>
      <c r="T2321">
        <v>1793.19683178487</v>
      </c>
      <c r="U2321">
        <v>2000</v>
      </c>
      <c r="V2321">
        <v>333.33333333333297</v>
      </c>
      <c r="W2321">
        <v>7500</v>
      </c>
      <c r="X2321">
        <v>2470.526644274677</v>
      </c>
      <c r="Y2321">
        <v>2100</v>
      </c>
      <c r="Z2321">
        <v>287.5</v>
      </c>
      <c r="AA2321">
        <v>7500</v>
      </c>
      <c r="AB2321">
        <v>4765.1093114390978</v>
      </c>
      <c r="AC2321">
        <v>1500</v>
      </c>
      <c r="AD2321">
        <v>125</v>
      </c>
      <c r="AE2321">
        <v>113333.33333333299</v>
      </c>
      <c r="AF2321">
        <v>2500</v>
      </c>
      <c r="AG2321">
        <v>2500</v>
      </c>
      <c r="AH2321">
        <v>2500</v>
      </c>
      <c r="AI2321">
        <v>2500</v>
      </c>
      <c r="AJ2321">
        <v>4771.8019994589949</v>
      </c>
      <c r="AK2321">
        <v>8000</v>
      </c>
      <c r="AL2321">
        <v>2666.6666666666702</v>
      </c>
      <c r="AM2321">
        <v>8000</v>
      </c>
      <c r="AN2321">
        <v>2629.1943206403312</v>
      </c>
      <c r="AO2321">
        <v>2200</v>
      </c>
      <c r="AP2321">
        <v>750</v>
      </c>
      <c r="AQ2321">
        <v>18250</v>
      </c>
      <c r="AR2321">
        <v>2328.2667075026579</v>
      </c>
      <c r="AS2321">
        <v>5000</v>
      </c>
      <c r="AT2321">
        <v>500</v>
      </c>
      <c r="AU2321">
        <v>5000</v>
      </c>
      <c r="AZ2321">
        <v>2554.172697308878</v>
      </c>
      <c r="BA2321">
        <v>4000</v>
      </c>
      <c r="BB2321">
        <v>800</v>
      </c>
      <c r="BC2321">
        <v>4000</v>
      </c>
      <c r="BD2321">
        <v>1317</v>
      </c>
    </row>
    <row r="2322" spans="1:56" x14ac:dyDescent="0.25">
      <c r="A2322" t="s">
        <v>199</v>
      </c>
      <c r="B2322" t="s">
        <v>198</v>
      </c>
      <c r="C2322" t="s">
        <v>229</v>
      </c>
      <c r="D2322">
        <v>8322.0774187698098</v>
      </c>
      <c r="E2322">
        <v>7000</v>
      </c>
      <c r="F2322">
        <v>533.33333333333303</v>
      </c>
      <c r="G2322">
        <v>30000</v>
      </c>
      <c r="H2322">
        <v>4880.6286481899106</v>
      </c>
      <c r="I2322">
        <v>5000</v>
      </c>
      <c r="J2322">
        <v>266.66666666666703</v>
      </c>
      <c r="K2322">
        <v>37000</v>
      </c>
      <c r="L2322">
        <v>3664.2501069302971</v>
      </c>
      <c r="M2322">
        <v>4000</v>
      </c>
      <c r="N2322">
        <v>3000</v>
      </c>
      <c r="O2322">
        <v>4000</v>
      </c>
      <c r="P2322">
        <v>2984.5723736504669</v>
      </c>
      <c r="Q2322">
        <v>2500</v>
      </c>
      <c r="R2322">
        <v>2500</v>
      </c>
      <c r="S2322">
        <v>13000</v>
      </c>
      <c r="T2322">
        <v>1930.0539478659821</v>
      </c>
      <c r="U2322">
        <v>2000</v>
      </c>
      <c r="V2322">
        <v>333.33333333333297</v>
      </c>
      <c r="W2322">
        <v>3333.3333333333298</v>
      </c>
      <c r="X2322">
        <v>3558.9836724224301</v>
      </c>
      <c r="Y2322">
        <v>3000</v>
      </c>
      <c r="Z2322">
        <v>450</v>
      </c>
      <c r="AA2322">
        <v>10000</v>
      </c>
      <c r="AB2322">
        <v>1327.6954931295741</v>
      </c>
      <c r="AC2322">
        <v>1000</v>
      </c>
      <c r="AD2322">
        <v>172</v>
      </c>
      <c r="AE2322">
        <v>7666.6666666666697</v>
      </c>
      <c r="AF2322">
        <v>93.75</v>
      </c>
      <c r="AG2322">
        <v>93.75</v>
      </c>
      <c r="AH2322">
        <v>93.75</v>
      </c>
      <c r="AI2322">
        <v>93.75</v>
      </c>
      <c r="AJ2322">
        <v>1427.307840486334</v>
      </c>
      <c r="AK2322">
        <v>600</v>
      </c>
      <c r="AL2322">
        <v>333.33333333333297</v>
      </c>
      <c r="AM2322">
        <v>7000</v>
      </c>
      <c r="AN2322">
        <v>1366.650159966377</v>
      </c>
      <c r="AO2322">
        <v>1000</v>
      </c>
      <c r="AP2322">
        <v>150</v>
      </c>
      <c r="AQ2322">
        <v>10500</v>
      </c>
      <c r="AR2322">
        <v>4528.3176007265083</v>
      </c>
      <c r="AS2322">
        <v>3000</v>
      </c>
      <c r="AT2322">
        <v>500</v>
      </c>
      <c r="AU2322">
        <v>10000</v>
      </c>
      <c r="AV2322">
        <v>769.55289469196123</v>
      </c>
      <c r="AW2322">
        <v>500</v>
      </c>
      <c r="AX2322">
        <v>500</v>
      </c>
      <c r="AY2322">
        <v>1320</v>
      </c>
      <c r="AZ2322">
        <v>7259.1340906271435</v>
      </c>
      <c r="BA2322">
        <v>15000</v>
      </c>
      <c r="BB2322">
        <v>466.66666666666703</v>
      </c>
      <c r="BC2322">
        <v>15000</v>
      </c>
      <c r="BD2322">
        <v>1317</v>
      </c>
    </row>
    <row r="2323" spans="1:56" x14ac:dyDescent="0.25">
      <c r="A2323" t="s">
        <v>200</v>
      </c>
      <c r="B2323" t="s">
        <v>198</v>
      </c>
      <c r="C2323" t="s">
        <v>228</v>
      </c>
      <c r="D2323">
        <v>9585.9104056638989</v>
      </c>
      <c r="E2323">
        <v>7000</v>
      </c>
      <c r="F2323">
        <v>1000</v>
      </c>
      <c r="G2323">
        <v>52000</v>
      </c>
      <c r="H2323">
        <v>3162.9950799171488</v>
      </c>
      <c r="I2323">
        <v>4000</v>
      </c>
      <c r="J2323">
        <v>28.571428571428601</v>
      </c>
      <c r="K2323">
        <v>10000</v>
      </c>
      <c r="L2323">
        <v>14488.70470847523</v>
      </c>
      <c r="M2323">
        <v>16666.666666666701</v>
      </c>
      <c r="N2323">
        <v>7500</v>
      </c>
      <c r="O2323">
        <v>16666.666666666701</v>
      </c>
      <c r="P2323">
        <v>1455.500840628117</v>
      </c>
      <c r="Q2323">
        <v>1500</v>
      </c>
      <c r="R2323">
        <v>333.33333333333297</v>
      </c>
      <c r="S2323">
        <v>3000</v>
      </c>
      <c r="T2323">
        <v>1712.869232585685</v>
      </c>
      <c r="U2323">
        <v>2000</v>
      </c>
      <c r="V2323">
        <v>500</v>
      </c>
      <c r="W2323">
        <v>2714.2857142857101</v>
      </c>
      <c r="X2323">
        <v>2765.189661523149</v>
      </c>
      <c r="Y2323">
        <v>3000</v>
      </c>
      <c r="Z2323">
        <v>625</v>
      </c>
      <c r="AA2323">
        <v>7500</v>
      </c>
      <c r="AB2323">
        <v>1130.200412931759</v>
      </c>
      <c r="AC2323">
        <v>745</v>
      </c>
      <c r="AD2323">
        <v>86</v>
      </c>
      <c r="AE2323">
        <v>5300</v>
      </c>
      <c r="AF2323">
        <v>187.5</v>
      </c>
      <c r="AG2323">
        <v>187.5</v>
      </c>
      <c r="AH2323">
        <v>187.5</v>
      </c>
      <c r="AI2323">
        <v>187.5</v>
      </c>
      <c r="AJ2323">
        <v>833.33333333333303</v>
      </c>
      <c r="AK2323">
        <v>833.33333333333303</v>
      </c>
      <c r="AL2323">
        <v>833.33333333333303</v>
      </c>
      <c r="AM2323">
        <v>833.33333333333303</v>
      </c>
      <c r="AR2323">
        <v>1867.9432928056769</v>
      </c>
      <c r="AS2323">
        <v>1000</v>
      </c>
      <c r="AT2323">
        <v>200</v>
      </c>
      <c r="AU2323">
        <v>7000</v>
      </c>
      <c r="AV2323">
        <v>1333.3333333333301</v>
      </c>
      <c r="AW2323">
        <v>1333.3333333333301</v>
      </c>
      <c r="AX2323">
        <v>1333.3333333333301</v>
      </c>
      <c r="AY2323">
        <v>1333.3333333333301</v>
      </c>
      <c r="BD2323">
        <v>1317</v>
      </c>
    </row>
    <row r="2324" spans="1:56" x14ac:dyDescent="0.25">
      <c r="A2324" t="s">
        <v>200</v>
      </c>
      <c r="B2324" t="s">
        <v>198</v>
      </c>
      <c r="C2324" t="s">
        <v>229</v>
      </c>
      <c r="D2324">
        <v>10199.96568259388</v>
      </c>
      <c r="E2324">
        <v>8000</v>
      </c>
      <c r="F2324">
        <v>375</v>
      </c>
      <c r="G2324">
        <v>50000</v>
      </c>
      <c r="H2324">
        <v>3593.0193852003072</v>
      </c>
      <c r="I2324">
        <v>3750</v>
      </c>
      <c r="J2324">
        <v>266.66666666666703</v>
      </c>
      <c r="K2324">
        <v>7500</v>
      </c>
      <c r="L2324">
        <v>21736.701188072078</v>
      </c>
      <c r="M2324">
        <v>20000</v>
      </c>
      <c r="N2324">
        <v>666.66666666666697</v>
      </c>
      <c r="O2324">
        <v>50000</v>
      </c>
      <c r="P2324">
        <v>3474.0207915826982</v>
      </c>
      <c r="Q2324">
        <v>3750</v>
      </c>
      <c r="R2324">
        <v>2333.3333333333298</v>
      </c>
      <c r="S2324">
        <v>3750</v>
      </c>
      <c r="T2324">
        <v>1762.9534232407429</v>
      </c>
      <c r="U2324">
        <v>2000</v>
      </c>
      <c r="V2324">
        <v>400</v>
      </c>
      <c r="W2324">
        <v>3333.3333333333298</v>
      </c>
      <c r="X2324">
        <v>3071.833345656546</v>
      </c>
      <c r="Y2324">
        <v>2500</v>
      </c>
      <c r="Z2324">
        <v>450</v>
      </c>
      <c r="AA2324">
        <v>10000</v>
      </c>
      <c r="AB2324">
        <v>1056.007300537869</v>
      </c>
      <c r="AC2324">
        <v>725</v>
      </c>
      <c r="AD2324">
        <v>113.333333333333</v>
      </c>
      <c r="AE2324">
        <v>5000</v>
      </c>
      <c r="AJ2324">
        <v>4711.180508377076</v>
      </c>
      <c r="AK2324">
        <v>10000</v>
      </c>
      <c r="AL2324">
        <v>1000</v>
      </c>
      <c r="AM2324">
        <v>10000</v>
      </c>
      <c r="AN2324">
        <v>7896.9355661401987</v>
      </c>
      <c r="AO2324">
        <v>10800</v>
      </c>
      <c r="AP2324">
        <v>3533.3333333333298</v>
      </c>
      <c r="AQ2324">
        <v>10800</v>
      </c>
      <c r="AR2324">
        <v>4430.785151211483</v>
      </c>
      <c r="AS2324">
        <v>5000</v>
      </c>
      <c r="AT2324">
        <v>350</v>
      </c>
      <c r="AU2324">
        <v>10000</v>
      </c>
      <c r="AV2324">
        <v>285.71428571428601</v>
      </c>
      <c r="AW2324">
        <v>285.71428571428601</v>
      </c>
      <c r="AX2324">
        <v>285.71428571428601</v>
      </c>
      <c r="AY2324">
        <v>285.71428571428601</v>
      </c>
      <c r="AZ2324">
        <v>11394.01757852216</v>
      </c>
      <c r="BA2324">
        <v>16666.666666666701</v>
      </c>
      <c r="BB2324">
        <v>666.66666666666697</v>
      </c>
      <c r="BC2324">
        <v>16666.666666666701</v>
      </c>
      <c r="BD2324">
        <v>1317</v>
      </c>
    </row>
    <row r="2325" spans="1:56" x14ac:dyDescent="0.25">
      <c r="A2325" t="s">
        <v>201</v>
      </c>
      <c r="B2325" t="s">
        <v>198</v>
      </c>
      <c r="C2325" t="s">
        <v>228</v>
      </c>
      <c r="D2325">
        <v>6817.2138835280057</v>
      </c>
      <c r="E2325">
        <v>6000</v>
      </c>
      <c r="F2325">
        <v>714.28571428571399</v>
      </c>
      <c r="G2325">
        <v>20000</v>
      </c>
      <c r="H2325">
        <v>3117.793159675788</v>
      </c>
      <c r="I2325">
        <v>2000</v>
      </c>
      <c r="J2325">
        <v>216.666666666667</v>
      </c>
      <c r="K2325">
        <v>6666.6666666666697</v>
      </c>
      <c r="L2325">
        <v>1942.564514854661</v>
      </c>
      <c r="M2325">
        <v>3333.3333333333298</v>
      </c>
      <c r="N2325">
        <v>1500</v>
      </c>
      <c r="O2325">
        <v>3333.3333333333298</v>
      </c>
      <c r="P2325">
        <v>699.60782221361956</v>
      </c>
      <c r="Q2325">
        <v>800</v>
      </c>
      <c r="R2325">
        <v>500</v>
      </c>
      <c r="S2325">
        <v>1166.6666666666699</v>
      </c>
      <c r="T2325">
        <v>2174.1005622050161</v>
      </c>
      <c r="U2325">
        <v>2000</v>
      </c>
      <c r="V2325">
        <v>500</v>
      </c>
      <c r="W2325">
        <v>8000</v>
      </c>
      <c r="X2325">
        <v>2671.7669313255742</v>
      </c>
      <c r="Y2325">
        <v>1900</v>
      </c>
      <c r="Z2325">
        <v>433.33333333333297</v>
      </c>
      <c r="AA2325">
        <v>7000</v>
      </c>
      <c r="AB2325">
        <v>1562.76983499637</v>
      </c>
      <c r="AC2325">
        <v>1450</v>
      </c>
      <c r="AD2325">
        <v>122.857142857143</v>
      </c>
      <c r="AE2325">
        <v>10000</v>
      </c>
      <c r="AN2325">
        <v>2318.5648660043162</v>
      </c>
      <c r="AO2325">
        <v>3000</v>
      </c>
      <c r="AP2325">
        <v>200</v>
      </c>
      <c r="AQ2325">
        <v>8500</v>
      </c>
      <c r="AR2325">
        <v>2861.4244898871821</v>
      </c>
      <c r="AS2325">
        <v>5000</v>
      </c>
      <c r="AT2325">
        <v>500</v>
      </c>
      <c r="AU2325">
        <v>19000</v>
      </c>
      <c r="BD2325">
        <v>1317</v>
      </c>
    </row>
    <row r="2326" spans="1:56" x14ac:dyDescent="0.25">
      <c r="A2326" t="s">
        <v>201</v>
      </c>
      <c r="B2326" t="s">
        <v>198</v>
      </c>
      <c r="C2326" t="s">
        <v>229</v>
      </c>
      <c r="D2326">
        <v>7706.2011456198361</v>
      </c>
      <c r="E2326">
        <v>6333.3333333333303</v>
      </c>
      <c r="F2326">
        <v>1166.6666666666699</v>
      </c>
      <c r="G2326">
        <v>33000</v>
      </c>
      <c r="H2326">
        <v>2900.6237036053649</v>
      </c>
      <c r="I2326">
        <v>1600</v>
      </c>
      <c r="J2326">
        <v>250</v>
      </c>
      <c r="K2326">
        <v>9000</v>
      </c>
      <c r="L2326">
        <v>8097.7580066493674</v>
      </c>
      <c r="M2326">
        <v>15000</v>
      </c>
      <c r="N2326">
        <v>4000</v>
      </c>
      <c r="O2326">
        <v>15000</v>
      </c>
      <c r="T2326">
        <v>1875.941064679356</v>
      </c>
      <c r="U2326">
        <v>2000</v>
      </c>
      <c r="V2326">
        <v>333.33333333333297</v>
      </c>
      <c r="W2326">
        <v>7500</v>
      </c>
      <c r="X2326">
        <v>2290.9469418899548</v>
      </c>
      <c r="Y2326">
        <v>2000</v>
      </c>
      <c r="Z2326">
        <v>571.42857142857099</v>
      </c>
      <c r="AA2326">
        <v>8000</v>
      </c>
      <c r="AB2326">
        <v>1839.465080699626</v>
      </c>
      <c r="AC2326">
        <v>1180.5</v>
      </c>
      <c r="AD2326">
        <v>215</v>
      </c>
      <c r="AE2326">
        <v>10800</v>
      </c>
      <c r="AJ2326">
        <v>3294.76839837443</v>
      </c>
      <c r="AK2326">
        <v>5000</v>
      </c>
      <c r="AL2326">
        <v>1500</v>
      </c>
      <c r="AM2326">
        <v>5666.6666666666697</v>
      </c>
      <c r="AN2326">
        <v>1078.6848819320151</v>
      </c>
      <c r="AO2326">
        <v>1500</v>
      </c>
      <c r="AP2326">
        <v>83.3333333333333</v>
      </c>
      <c r="AQ2326">
        <v>10800</v>
      </c>
      <c r="AR2326">
        <v>2790.4593712701289</v>
      </c>
      <c r="AS2326">
        <v>1666.6666666666699</v>
      </c>
      <c r="AT2326">
        <v>400</v>
      </c>
      <c r="AU2326">
        <v>10000</v>
      </c>
      <c r="AV2326">
        <v>3000</v>
      </c>
      <c r="AW2326">
        <v>3000</v>
      </c>
      <c r="AX2326">
        <v>3000</v>
      </c>
      <c r="AY2326">
        <v>3000</v>
      </c>
      <c r="BD2326">
        <v>1317</v>
      </c>
    </row>
    <row r="2327" spans="1:56" x14ac:dyDescent="0.25">
      <c r="A2327" t="s">
        <v>202</v>
      </c>
      <c r="B2327" t="s">
        <v>198</v>
      </c>
      <c r="C2327" t="s">
        <v>228</v>
      </c>
      <c r="D2327">
        <v>5133.2880060952693</v>
      </c>
      <c r="E2327">
        <v>7150</v>
      </c>
      <c r="F2327">
        <v>1166.6666666666699</v>
      </c>
      <c r="G2327">
        <v>7850</v>
      </c>
      <c r="H2327">
        <v>10085.54916480575</v>
      </c>
      <c r="I2327">
        <v>20000</v>
      </c>
      <c r="J2327">
        <v>750</v>
      </c>
      <c r="K2327">
        <v>20000</v>
      </c>
      <c r="P2327">
        <v>750</v>
      </c>
      <c r="Q2327">
        <v>750</v>
      </c>
      <c r="R2327">
        <v>750</v>
      </c>
      <c r="S2327">
        <v>750</v>
      </c>
      <c r="T2327">
        <v>2136.2212733482711</v>
      </c>
      <c r="U2327">
        <v>2300</v>
      </c>
      <c r="V2327">
        <v>666.66666666666697</v>
      </c>
      <c r="W2327">
        <v>2666.6666666666702</v>
      </c>
      <c r="X2327">
        <v>2420.2446795213168</v>
      </c>
      <c r="Y2327">
        <v>2800</v>
      </c>
      <c r="Z2327">
        <v>1000</v>
      </c>
      <c r="AA2327">
        <v>8000</v>
      </c>
      <c r="AB2327">
        <v>1416.8758197514139</v>
      </c>
      <c r="AC2327">
        <v>1800</v>
      </c>
      <c r="AD2327">
        <v>592</v>
      </c>
      <c r="AE2327">
        <v>1800</v>
      </c>
      <c r="AJ2327">
        <v>1000</v>
      </c>
      <c r="AK2327">
        <v>1000</v>
      </c>
      <c r="AL2327">
        <v>1000</v>
      </c>
      <c r="AM2327">
        <v>1000</v>
      </c>
      <c r="AN2327">
        <v>500.00000000000011</v>
      </c>
      <c r="AO2327">
        <v>500</v>
      </c>
      <c r="AP2327">
        <v>500</v>
      </c>
      <c r="AQ2327">
        <v>500</v>
      </c>
      <c r="AR2327">
        <v>1692.632486064414</v>
      </c>
      <c r="AS2327">
        <v>3333.3333333333298</v>
      </c>
      <c r="AT2327">
        <v>200</v>
      </c>
      <c r="AU2327">
        <v>3333.3333333333298</v>
      </c>
      <c r="BD2327">
        <v>1317</v>
      </c>
    </row>
    <row r="2328" spans="1:56" x14ac:dyDescent="0.25">
      <c r="A2328" t="s">
        <v>202</v>
      </c>
      <c r="B2328" t="s">
        <v>198</v>
      </c>
      <c r="C2328" t="s">
        <v>229</v>
      </c>
      <c r="D2328">
        <v>9286.5187674905865</v>
      </c>
      <c r="E2328">
        <v>6666.6666666666697</v>
      </c>
      <c r="F2328">
        <v>1500</v>
      </c>
      <c r="G2328">
        <v>30000</v>
      </c>
      <c r="H2328">
        <v>8711.2146711268324</v>
      </c>
      <c r="I2328">
        <v>12000</v>
      </c>
      <c r="J2328">
        <v>1000</v>
      </c>
      <c r="K2328">
        <v>12000</v>
      </c>
      <c r="T2328">
        <v>1997.9903957764641</v>
      </c>
      <c r="U2328">
        <v>2000</v>
      </c>
      <c r="V2328">
        <v>500</v>
      </c>
      <c r="W2328">
        <v>5250</v>
      </c>
      <c r="X2328">
        <v>4168.8246121468364</v>
      </c>
      <c r="Y2328">
        <v>3750</v>
      </c>
      <c r="Z2328">
        <v>1000</v>
      </c>
      <c r="AA2328">
        <v>12000</v>
      </c>
      <c r="AB2328">
        <v>2097.8642602499249</v>
      </c>
      <c r="AC2328">
        <v>1150</v>
      </c>
      <c r="AD2328">
        <v>215</v>
      </c>
      <c r="AE2328">
        <v>22000</v>
      </c>
      <c r="AN2328">
        <v>2136.359841479662</v>
      </c>
      <c r="AO2328">
        <v>1800</v>
      </c>
      <c r="AP2328">
        <v>1000</v>
      </c>
      <c r="AQ2328">
        <v>6600</v>
      </c>
      <c r="AR2328">
        <v>22579.370599966529</v>
      </c>
      <c r="AS2328">
        <v>15000</v>
      </c>
      <c r="AT2328">
        <v>3333.3333333333298</v>
      </c>
      <c r="AU2328">
        <v>75000</v>
      </c>
      <c r="BD2328">
        <v>1317</v>
      </c>
    </row>
    <row r="2329" spans="1:56" x14ac:dyDescent="0.25">
      <c r="A2329" t="s">
        <v>199</v>
      </c>
      <c r="B2329" t="s">
        <v>203</v>
      </c>
      <c r="C2329" t="s">
        <v>228</v>
      </c>
      <c r="D2329">
        <v>5841.2971938696865</v>
      </c>
      <c r="E2329">
        <v>5666.6666666666697</v>
      </c>
      <c r="F2329">
        <v>400</v>
      </c>
      <c r="G2329">
        <v>40000</v>
      </c>
      <c r="H2329">
        <v>2509.701763588791</v>
      </c>
      <c r="I2329">
        <v>2000</v>
      </c>
      <c r="J2329">
        <v>166.666666666667</v>
      </c>
      <c r="K2329">
        <v>10000</v>
      </c>
      <c r="L2329">
        <v>27111.162264260209</v>
      </c>
      <c r="M2329">
        <v>30000</v>
      </c>
      <c r="N2329">
        <v>1050</v>
      </c>
      <c r="O2329">
        <v>30000</v>
      </c>
      <c r="P2329">
        <v>1253.9817076135121</v>
      </c>
      <c r="Q2329">
        <v>1000</v>
      </c>
      <c r="R2329">
        <v>166.666666666667</v>
      </c>
      <c r="S2329">
        <v>10000</v>
      </c>
      <c r="T2329">
        <v>1313.033538969918</v>
      </c>
      <c r="U2329">
        <v>1333.3333333333301</v>
      </c>
      <c r="V2329">
        <v>750</v>
      </c>
      <c r="W2329">
        <v>2000</v>
      </c>
      <c r="X2329">
        <v>2550.029110905205</v>
      </c>
      <c r="Y2329">
        <v>2000</v>
      </c>
      <c r="Z2329">
        <v>416.66666666666703</v>
      </c>
      <c r="AA2329">
        <v>7500</v>
      </c>
      <c r="AB2329">
        <v>1346.1416928163251</v>
      </c>
      <c r="AC2329">
        <v>1050</v>
      </c>
      <c r="AD2329">
        <v>320</v>
      </c>
      <c r="AE2329">
        <v>6500</v>
      </c>
      <c r="AF2329">
        <v>382.67704989210699</v>
      </c>
      <c r="AG2329">
        <v>104.25</v>
      </c>
      <c r="AH2329">
        <v>104.25</v>
      </c>
      <c r="AI2329">
        <v>5000</v>
      </c>
      <c r="AJ2329">
        <v>7939.6536684443581</v>
      </c>
      <c r="AK2329">
        <v>10000</v>
      </c>
      <c r="AL2329">
        <v>1666.6666666666699</v>
      </c>
      <c r="AM2329">
        <v>10000</v>
      </c>
      <c r="AN2329">
        <v>4662.1085450259216</v>
      </c>
      <c r="AO2329">
        <v>5000</v>
      </c>
      <c r="AP2329">
        <v>166.666666666667</v>
      </c>
      <c r="AQ2329">
        <v>5000</v>
      </c>
      <c r="AR2329">
        <v>2209.7467153789212</v>
      </c>
      <c r="AS2329">
        <v>3500</v>
      </c>
      <c r="AT2329">
        <v>600</v>
      </c>
      <c r="AU2329">
        <v>5000</v>
      </c>
      <c r="AV2329">
        <v>3000</v>
      </c>
      <c r="AW2329">
        <v>3000</v>
      </c>
      <c r="AX2329">
        <v>3000</v>
      </c>
      <c r="AY2329">
        <v>3000</v>
      </c>
      <c r="AZ2329">
        <v>1665.4601871375039</v>
      </c>
      <c r="BA2329">
        <v>2500</v>
      </c>
      <c r="BB2329">
        <v>240</v>
      </c>
      <c r="BC2329">
        <v>2500</v>
      </c>
      <c r="BD2329">
        <v>1317</v>
      </c>
    </row>
    <row r="2330" spans="1:56" x14ac:dyDescent="0.25">
      <c r="A2330" t="s">
        <v>199</v>
      </c>
      <c r="B2330" t="s">
        <v>203</v>
      </c>
      <c r="C2330" t="s">
        <v>229</v>
      </c>
      <c r="D2330">
        <v>8321.4415458398053</v>
      </c>
      <c r="E2330">
        <v>7666.6666666666697</v>
      </c>
      <c r="F2330">
        <v>400</v>
      </c>
      <c r="G2330">
        <v>70000</v>
      </c>
      <c r="H2330">
        <v>4531.2502921480918</v>
      </c>
      <c r="I2330">
        <v>3000</v>
      </c>
      <c r="J2330">
        <v>250</v>
      </c>
      <c r="K2330">
        <v>28000</v>
      </c>
      <c r="L2330">
        <v>26430.995875707729</v>
      </c>
      <c r="M2330">
        <v>12500</v>
      </c>
      <c r="N2330">
        <v>833.33333333333303</v>
      </c>
      <c r="O2330">
        <v>150000</v>
      </c>
      <c r="P2330">
        <v>1373.663506148024</v>
      </c>
      <c r="Q2330">
        <v>1333.3333333333301</v>
      </c>
      <c r="R2330">
        <v>1000</v>
      </c>
      <c r="S2330">
        <v>3333.3333333333298</v>
      </c>
      <c r="T2330">
        <v>1646.2339387094009</v>
      </c>
      <c r="U2330">
        <v>2000</v>
      </c>
      <c r="V2330">
        <v>400</v>
      </c>
      <c r="W2330">
        <v>8000</v>
      </c>
      <c r="X2330">
        <v>3889.6237664746868</v>
      </c>
      <c r="Y2330">
        <v>3000</v>
      </c>
      <c r="Z2330">
        <v>575</v>
      </c>
      <c r="AA2330">
        <v>20000</v>
      </c>
      <c r="AB2330">
        <v>1351.448142429344</v>
      </c>
      <c r="AC2330">
        <v>286.66666666666703</v>
      </c>
      <c r="AD2330">
        <v>143.333333333333</v>
      </c>
      <c r="AE2330">
        <v>20000</v>
      </c>
      <c r="AF2330">
        <v>1706.946651769066</v>
      </c>
      <c r="AG2330">
        <v>1500</v>
      </c>
      <c r="AH2330">
        <v>750</v>
      </c>
      <c r="AI2330">
        <v>5000</v>
      </c>
      <c r="AJ2330">
        <v>2728.9541105314852</v>
      </c>
      <c r="AK2330">
        <v>2666.6666666666702</v>
      </c>
      <c r="AL2330">
        <v>500</v>
      </c>
      <c r="AM2330">
        <v>10000</v>
      </c>
      <c r="AN2330">
        <v>3021.7181758128199</v>
      </c>
      <c r="AO2330">
        <v>1500</v>
      </c>
      <c r="AP2330">
        <v>300</v>
      </c>
      <c r="AQ2330">
        <v>21000</v>
      </c>
      <c r="AR2330">
        <v>6405.2136932666244</v>
      </c>
      <c r="AS2330">
        <v>1500</v>
      </c>
      <c r="AT2330">
        <v>400</v>
      </c>
      <c r="AU2330">
        <v>25000</v>
      </c>
      <c r="AZ2330">
        <v>5468.4057297950794</v>
      </c>
      <c r="BA2330">
        <v>1000</v>
      </c>
      <c r="BB2330">
        <v>333.33333333333297</v>
      </c>
      <c r="BC2330">
        <v>23333.333333333299</v>
      </c>
      <c r="BD2330">
        <v>1317</v>
      </c>
    </row>
    <row r="2331" spans="1:56" x14ac:dyDescent="0.25">
      <c r="A2331" t="s">
        <v>200</v>
      </c>
      <c r="B2331" t="s">
        <v>203</v>
      </c>
      <c r="C2331" t="s">
        <v>228</v>
      </c>
      <c r="D2331">
        <v>14619.949135049401</v>
      </c>
      <c r="E2331">
        <v>8333.3333333333303</v>
      </c>
      <c r="F2331">
        <v>1200</v>
      </c>
      <c r="G2331">
        <v>250000</v>
      </c>
      <c r="H2331">
        <v>8026.7252240780663</v>
      </c>
      <c r="I2331">
        <v>5000</v>
      </c>
      <c r="J2331">
        <v>750</v>
      </c>
      <c r="K2331">
        <v>26666.666666666701</v>
      </c>
      <c r="L2331">
        <v>19498.253468485938</v>
      </c>
      <c r="M2331">
        <v>23333.333333333299</v>
      </c>
      <c r="N2331">
        <v>833.33333333333303</v>
      </c>
      <c r="O2331">
        <v>40000</v>
      </c>
      <c r="P2331">
        <v>4093.7794698143721</v>
      </c>
      <c r="Q2331">
        <v>5000</v>
      </c>
      <c r="R2331">
        <v>500</v>
      </c>
      <c r="S2331">
        <v>5000</v>
      </c>
      <c r="T2331">
        <v>626.00829338208348</v>
      </c>
      <c r="U2331">
        <v>600</v>
      </c>
      <c r="V2331">
        <v>600</v>
      </c>
      <c r="W2331">
        <v>750</v>
      </c>
      <c r="X2331">
        <v>2812.488065102114</v>
      </c>
      <c r="Y2331">
        <v>2166.6666666666702</v>
      </c>
      <c r="Z2331">
        <v>312.5</v>
      </c>
      <c r="AA2331">
        <v>9000</v>
      </c>
      <c r="AB2331">
        <v>1257.381021153411</v>
      </c>
      <c r="AC2331">
        <v>383.33333333333297</v>
      </c>
      <c r="AD2331">
        <v>122.857142857143</v>
      </c>
      <c r="AE2331">
        <v>11000</v>
      </c>
      <c r="AF2331">
        <v>4339.4897674366148</v>
      </c>
      <c r="AG2331">
        <v>5666.6666666666697</v>
      </c>
      <c r="AH2331">
        <v>96.6666666666667</v>
      </c>
      <c r="AI2331">
        <v>5666.6666666666697</v>
      </c>
      <c r="AJ2331">
        <v>3723.8561223958468</v>
      </c>
      <c r="AK2331">
        <v>6000</v>
      </c>
      <c r="AL2331">
        <v>1500</v>
      </c>
      <c r="AM2331">
        <v>6000</v>
      </c>
      <c r="AR2331">
        <v>4649.9341429659844</v>
      </c>
      <c r="AS2331">
        <v>5000</v>
      </c>
      <c r="AT2331">
        <v>3333.3333333333298</v>
      </c>
      <c r="AU2331">
        <v>6666.6666666666697</v>
      </c>
      <c r="AZ2331">
        <v>3137.937432044504</v>
      </c>
      <c r="BA2331">
        <v>5000</v>
      </c>
      <c r="BB2331">
        <v>250</v>
      </c>
      <c r="BC2331">
        <v>5000</v>
      </c>
      <c r="BD2331">
        <v>1317</v>
      </c>
    </row>
    <row r="2332" spans="1:56" x14ac:dyDescent="0.25">
      <c r="A2332" t="s">
        <v>200</v>
      </c>
      <c r="B2332" t="s">
        <v>203</v>
      </c>
      <c r="C2332" t="s">
        <v>229</v>
      </c>
      <c r="D2332">
        <v>14380.92583553548</v>
      </c>
      <c r="E2332">
        <v>11666.666666666701</v>
      </c>
      <c r="F2332">
        <v>666.66666666666697</v>
      </c>
      <c r="G2332">
        <v>70000</v>
      </c>
      <c r="H2332">
        <v>11938.065854017041</v>
      </c>
      <c r="I2332">
        <v>10000</v>
      </c>
      <c r="J2332">
        <v>250</v>
      </c>
      <c r="K2332">
        <v>35000</v>
      </c>
      <c r="L2332">
        <v>14300.182396757549</v>
      </c>
      <c r="M2332">
        <v>12500</v>
      </c>
      <c r="N2332">
        <v>500</v>
      </c>
      <c r="O2332">
        <v>33333.333333333299</v>
      </c>
      <c r="P2332">
        <v>1750</v>
      </c>
      <c r="Q2332">
        <v>1750</v>
      </c>
      <c r="R2332">
        <v>1750</v>
      </c>
      <c r="S2332">
        <v>1750</v>
      </c>
      <c r="T2332">
        <v>1394.524767624715</v>
      </c>
      <c r="U2332">
        <v>1333.3333333333301</v>
      </c>
      <c r="V2332">
        <v>333.33333333333297</v>
      </c>
      <c r="W2332">
        <v>2250</v>
      </c>
      <c r="X2332">
        <v>2913.5628396021698</v>
      </c>
      <c r="Y2332">
        <v>2950</v>
      </c>
      <c r="Z2332">
        <v>337.5</v>
      </c>
      <c r="AA2332">
        <v>15000</v>
      </c>
      <c r="AB2332">
        <v>717.52608201092528</v>
      </c>
      <c r="AC2332">
        <v>286.66666666666703</v>
      </c>
      <c r="AD2332">
        <v>172</v>
      </c>
      <c r="AE2332">
        <v>4000</v>
      </c>
      <c r="AF2332">
        <v>3329.2492428158571</v>
      </c>
      <c r="AG2332">
        <v>3500</v>
      </c>
      <c r="AH2332">
        <v>1166.6666666666699</v>
      </c>
      <c r="AI2332">
        <v>10000</v>
      </c>
      <c r="AJ2332">
        <v>4338.9379503828231</v>
      </c>
      <c r="AK2332">
        <v>6000</v>
      </c>
      <c r="AL2332">
        <v>500</v>
      </c>
      <c r="AM2332">
        <v>6000</v>
      </c>
      <c r="AN2332">
        <v>2684.5150279836162</v>
      </c>
      <c r="AO2332">
        <v>3500</v>
      </c>
      <c r="AP2332">
        <v>750</v>
      </c>
      <c r="AQ2332">
        <v>3500</v>
      </c>
      <c r="AR2332">
        <v>2824.0178450306698</v>
      </c>
      <c r="AS2332">
        <v>2000</v>
      </c>
      <c r="AT2332">
        <v>500</v>
      </c>
      <c r="AU2332">
        <v>10000</v>
      </c>
      <c r="AZ2332">
        <v>3847.330853559421</v>
      </c>
      <c r="BA2332">
        <v>2000</v>
      </c>
      <c r="BB2332">
        <v>400</v>
      </c>
      <c r="BC2332">
        <v>14000</v>
      </c>
      <c r="BD2332">
        <v>1317</v>
      </c>
    </row>
    <row r="2333" spans="1:56" x14ac:dyDescent="0.25">
      <c r="A2333" t="s">
        <v>201</v>
      </c>
      <c r="B2333" t="s">
        <v>203</v>
      </c>
      <c r="C2333" t="s">
        <v>228</v>
      </c>
      <c r="D2333">
        <v>10599.1730387643</v>
      </c>
      <c r="E2333">
        <v>6250</v>
      </c>
      <c r="F2333">
        <v>425</v>
      </c>
      <c r="G2333">
        <v>60000</v>
      </c>
      <c r="H2333">
        <v>2561.0237221931552</v>
      </c>
      <c r="I2333">
        <v>1750</v>
      </c>
      <c r="J2333">
        <v>333.33333333333297</v>
      </c>
      <c r="K2333">
        <v>5400</v>
      </c>
      <c r="L2333">
        <v>4878.1809058836316</v>
      </c>
      <c r="M2333">
        <v>6666.6666666666697</v>
      </c>
      <c r="N2333">
        <v>540</v>
      </c>
      <c r="O2333">
        <v>30000</v>
      </c>
      <c r="P2333">
        <v>1342.3895018204601</v>
      </c>
      <c r="Q2333">
        <v>1111.1111111111099</v>
      </c>
      <c r="R2333">
        <v>300</v>
      </c>
      <c r="S2333">
        <v>15000</v>
      </c>
      <c r="T2333">
        <v>2111.1757392323311</v>
      </c>
      <c r="U2333">
        <v>2333.3333333333298</v>
      </c>
      <c r="V2333">
        <v>500</v>
      </c>
      <c r="W2333">
        <v>3000</v>
      </c>
      <c r="X2333">
        <v>2106.2636067948538</v>
      </c>
      <c r="Y2333">
        <v>1600</v>
      </c>
      <c r="Z2333">
        <v>385.71428571428601</v>
      </c>
      <c r="AA2333">
        <v>7000</v>
      </c>
      <c r="AB2333">
        <v>1387.9818844301781</v>
      </c>
      <c r="AC2333">
        <v>1333.3333333333301</v>
      </c>
      <c r="AD2333">
        <v>172</v>
      </c>
      <c r="AE2333">
        <v>8333.3333333333303</v>
      </c>
      <c r="AF2333">
        <v>5111.1111111111104</v>
      </c>
      <c r="AG2333">
        <v>11000</v>
      </c>
      <c r="AH2333">
        <v>833.33333333333303</v>
      </c>
      <c r="AI2333">
        <v>11000</v>
      </c>
      <c r="AJ2333">
        <v>3019.859859655226</v>
      </c>
      <c r="AK2333">
        <v>6666.6666666666697</v>
      </c>
      <c r="AL2333">
        <v>750</v>
      </c>
      <c r="AM2333">
        <v>6666.6666666666697</v>
      </c>
      <c r="AN2333">
        <v>5090.5200606332137</v>
      </c>
      <c r="AO2333">
        <v>1000</v>
      </c>
      <c r="AP2333">
        <v>333.33333333333297</v>
      </c>
      <c r="AQ2333">
        <v>20000</v>
      </c>
      <c r="AR2333">
        <v>4339.3060218969258</v>
      </c>
      <c r="AS2333">
        <v>1666.6666666666699</v>
      </c>
      <c r="AT2333">
        <v>714.28571428571399</v>
      </c>
      <c r="AU2333">
        <v>100000</v>
      </c>
      <c r="AV2333">
        <v>5794.0267465262114</v>
      </c>
      <c r="AW2333">
        <v>8333.3333333333303</v>
      </c>
      <c r="AX2333">
        <v>2500</v>
      </c>
      <c r="AY2333">
        <v>8333.3333333333303</v>
      </c>
      <c r="AZ2333">
        <v>17500</v>
      </c>
      <c r="BA2333">
        <v>17500</v>
      </c>
      <c r="BB2333">
        <v>17500</v>
      </c>
      <c r="BC2333">
        <v>17500</v>
      </c>
      <c r="BD2333">
        <v>1317</v>
      </c>
    </row>
    <row r="2334" spans="1:56" x14ac:dyDescent="0.25">
      <c r="A2334" t="s">
        <v>201</v>
      </c>
      <c r="B2334" t="s">
        <v>203</v>
      </c>
      <c r="C2334" t="s">
        <v>229</v>
      </c>
      <c r="D2334">
        <v>9682.023224282726</v>
      </c>
      <c r="E2334">
        <v>8000</v>
      </c>
      <c r="F2334">
        <v>1500</v>
      </c>
      <c r="G2334">
        <v>27000</v>
      </c>
      <c r="H2334">
        <v>3201.619706938709</v>
      </c>
      <c r="I2334">
        <v>2500</v>
      </c>
      <c r="J2334">
        <v>857.142857142857</v>
      </c>
      <c r="K2334">
        <v>10000</v>
      </c>
      <c r="L2334">
        <v>10279.031130333569</v>
      </c>
      <c r="M2334">
        <v>10000</v>
      </c>
      <c r="N2334">
        <v>3000</v>
      </c>
      <c r="O2334">
        <v>28333.333333333299</v>
      </c>
      <c r="P2334">
        <v>2699.4938584706192</v>
      </c>
      <c r="Q2334">
        <v>2666.6666666666702</v>
      </c>
      <c r="R2334">
        <v>2666.6666666666702</v>
      </c>
      <c r="S2334">
        <v>3333.3333333333298</v>
      </c>
      <c r="T2334">
        <v>1563.090076843187</v>
      </c>
      <c r="U2334">
        <v>2000</v>
      </c>
      <c r="V2334">
        <v>400</v>
      </c>
      <c r="W2334">
        <v>2500</v>
      </c>
      <c r="X2334">
        <v>2863.829583794201</v>
      </c>
      <c r="Y2334">
        <v>3750</v>
      </c>
      <c r="Z2334">
        <v>587.5</v>
      </c>
      <c r="AA2334">
        <v>6000</v>
      </c>
      <c r="AB2334">
        <v>1113.4920510802531</v>
      </c>
      <c r="AC2334">
        <v>685.71428571428601</v>
      </c>
      <c r="AD2334">
        <v>143.333333333333</v>
      </c>
      <c r="AE2334">
        <v>4000</v>
      </c>
      <c r="AF2334">
        <v>1911.4575965170141</v>
      </c>
      <c r="AG2334">
        <v>1250</v>
      </c>
      <c r="AH2334">
        <v>875</v>
      </c>
      <c r="AI2334">
        <v>6000</v>
      </c>
      <c r="AJ2334">
        <v>5386.6245234828839</v>
      </c>
      <c r="AK2334">
        <v>2000</v>
      </c>
      <c r="AL2334">
        <v>666.66666666666697</v>
      </c>
      <c r="AM2334">
        <v>30000</v>
      </c>
      <c r="AN2334">
        <v>1024.6408591364409</v>
      </c>
      <c r="AO2334">
        <v>1500</v>
      </c>
      <c r="AP2334">
        <v>87.5</v>
      </c>
      <c r="AQ2334">
        <v>10000</v>
      </c>
      <c r="AR2334">
        <v>1566.052692272486</v>
      </c>
      <c r="AS2334">
        <v>1400</v>
      </c>
      <c r="AT2334">
        <v>500</v>
      </c>
      <c r="AU2334">
        <v>7500</v>
      </c>
      <c r="AZ2334">
        <v>1345.8333333333351</v>
      </c>
      <c r="BA2334">
        <v>1125</v>
      </c>
      <c r="BB2334">
        <v>1125</v>
      </c>
      <c r="BC2334">
        <v>1566.6666666666699</v>
      </c>
      <c r="BD2334">
        <v>1317</v>
      </c>
    </row>
    <row r="2335" spans="1:56" x14ac:dyDescent="0.25">
      <c r="A2335" t="s">
        <v>202</v>
      </c>
      <c r="B2335" t="s">
        <v>203</v>
      </c>
      <c r="C2335" t="s">
        <v>228</v>
      </c>
      <c r="D2335">
        <v>7286.0865513065364</v>
      </c>
      <c r="E2335">
        <v>5350</v>
      </c>
      <c r="F2335">
        <v>1600</v>
      </c>
      <c r="G2335">
        <v>20000</v>
      </c>
      <c r="H2335">
        <v>7888.2094469224312</v>
      </c>
      <c r="I2335">
        <v>13333.333333333299</v>
      </c>
      <c r="J2335">
        <v>1450</v>
      </c>
      <c r="K2335">
        <v>20000</v>
      </c>
      <c r="X2335">
        <v>2626.142388439484</v>
      </c>
      <c r="Y2335">
        <v>3000</v>
      </c>
      <c r="Z2335">
        <v>600</v>
      </c>
      <c r="AA2335">
        <v>6250</v>
      </c>
      <c r="AB2335">
        <v>1055.6707268434959</v>
      </c>
      <c r="AC2335">
        <v>666.66666666666697</v>
      </c>
      <c r="AD2335">
        <v>206.4</v>
      </c>
      <c r="AE2335">
        <v>2315</v>
      </c>
      <c r="AF2335">
        <v>2493.2892041110322</v>
      </c>
      <c r="AG2335">
        <v>5000</v>
      </c>
      <c r="AH2335">
        <v>275</v>
      </c>
      <c r="AI2335">
        <v>5000</v>
      </c>
      <c r="AJ2335">
        <v>5256.5078405624163</v>
      </c>
      <c r="AK2335">
        <v>6000</v>
      </c>
      <c r="AL2335">
        <v>2000</v>
      </c>
      <c r="AM2335">
        <v>7500</v>
      </c>
      <c r="AR2335">
        <v>2010.369482970041</v>
      </c>
      <c r="AS2335">
        <v>4000</v>
      </c>
      <c r="AT2335">
        <v>400</v>
      </c>
      <c r="AU2335">
        <v>4000</v>
      </c>
      <c r="BD2335">
        <v>1317</v>
      </c>
    </row>
    <row r="2336" spans="1:56" x14ac:dyDescent="0.25">
      <c r="A2336" t="s">
        <v>202</v>
      </c>
      <c r="B2336" t="s">
        <v>203</v>
      </c>
      <c r="C2336" t="s">
        <v>229</v>
      </c>
      <c r="D2336">
        <v>12883.511111669281</v>
      </c>
      <c r="E2336">
        <v>11750</v>
      </c>
      <c r="F2336">
        <v>3500</v>
      </c>
      <c r="G2336">
        <v>35000</v>
      </c>
      <c r="H2336">
        <v>4272.4434596024839</v>
      </c>
      <c r="I2336">
        <v>5500</v>
      </c>
      <c r="J2336">
        <v>1500</v>
      </c>
      <c r="K2336">
        <v>5500</v>
      </c>
      <c r="L2336">
        <v>11185.54934146599</v>
      </c>
      <c r="M2336">
        <v>7000</v>
      </c>
      <c r="N2336">
        <v>7000</v>
      </c>
      <c r="O2336">
        <v>20000</v>
      </c>
      <c r="X2336">
        <v>4230.9998969579938</v>
      </c>
      <c r="Y2336">
        <v>4100</v>
      </c>
      <c r="Z2336">
        <v>600</v>
      </c>
      <c r="AA2336">
        <v>12000</v>
      </c>
      <c r="AB2336">
        <v>1318.995933249656</v>
      </c>
      <c r="AC2336">
        <v>1033.3333333333301</v>
      </c>
      <c r="AD2336">
        <v>286.66666666666703</v>
      </c>
      <c r="AE2336">
        <v>4000</v>
      </c>
      <c r="AF2336">
        <v>2588.306320405833</v>
      </c>
      <c r="AG2336">
        <v>2666.6666666666702</v>
      </c>
      <c r="AH2336">
        <v>500</v>
      </c>
      <c r="AI2336">
        <v>5000</v>
      </c>
      <c r="AJ2336">
        <v>4333.3333333333348</v>
      </c>
      <c r="AK2336">
        <v>2000</v>
      </c>
      <c r="AL2336">
        <v>2000</v>
      </c>
      <c r="AM2336">
        <v>6666.6666666666697</v>
      </c>
      <c r="AR2336">
        <v>3034.8818138336651</v>
      </c>
      <c r="AS2336">
        <v>3333.3333333333298</v>
      </c>
      <c r="AT2336">
        <v>500</v>
      </c>
      <c r="AU2336">
        <v>5000</v>
      </c>
      <c r="BD2336">
        <v>1317</v>
      </c>
    </row>
    <row r="2337" spans="1:56" x14ac:dyDescent="0.25">
      <c r="A2337" t="s">
        <v>204</v>
      </c>
      <c r="B2337" t="s">
        <v>204</v>
      </c>
      <c r="C2337" t="s">
        <v>204</v>
      </c>
      <c r="D2337">
        <v>10985.622614450671</v>
      </c>
      <c r="E2337">
        <v>8000</v>
      </c>
      <c r="F2337">
        <v>375</v>
      </c>
      <c r="G2337">
        <v>250000</v>
      </c>
      <c r="H2337">
        <v>6125.8807335167676</v>
      </c>
      <c r="I2337">
        <v>5000</v>
      </c>
      <c r="J2337">
        <v>28.571428571428601</v>
      </c>
      <c r="K2337">
        <v>37000</v>
      </c>
      <c r="L2337">
        <v>16103.819224385879</v>
      </c>
      <c r="M2337">
        <v>11666.666666666701</v>
      </c>
      <c r="N2337">
        <v>500</v>
      </c>
      <c r="O2337">
        <v>150000</v>
      </c>
      <c r="P2337">
        <v>1930.9837390009279</v>
      </c>
      <c r="Q2337">
        <v>1500</v>
      </c>
      <c r="R2337">
        <v>166.666666666667</v>
      </c>
      <c r="S2337">
        <v>15000</v>
      </c>
      <c r="T2337">
        <v>1883.8547115085821</v>
      </c>
      <c r="U2337">
        <v>2000</v>
      </c>
      <c r="V2337">
        <v>333.33333333333297</v>
      </c>
      <c r="W2337">
        <v>8000</v>
      </c>
      <c r="X2337">
        <v>3246.1683873287529</v>
      </c>
      <c r="Y2337">
        <v>2800</v>
      </c>
      <c r="Z2337">
        <v>287.5</v>
      </c>
      <c r="AA2337">
        <v>20000</v>
      </c>
      <c r="AB2337">
        <v>1536.49823865536</v>
      </c>
      <c r="AC2337">
        <v>750</v>
      </c>
      <c r="AD2337">
        <v>86</v>
      </c>
      <c r="AE2337">
        <v>113333.33333333299</v>
      </c>
      <c r="AF2337">
        <v>2320.518805176484</v>
      </c>
      <c r="AG2337">
        <v>2500</v>
      </c>
      <c r="AH2337">
        <v>93.75</v>
      </c>
      <c r="AI2337">
        <v>11000</v>
      </c>
      <c r="AJ2337">
        <v>3564.2455646408712</v>
      </c>
      <c r="AK2337">
        <v>2500</v>
      </c>
      <c r="AL2337">
        <v>333.33333333333297</v>
      </c>
      <c r="AM2337">
        <v>30000</v>
      </c>
      <c r="AN2337">
        <v>2855.1426053542832</v>
      </c>
      <c r="AO2337">
        <v>1000</v>
      </c>
      <c r="AP2337">
        <v>83.3333333333333</v>
      </c>
      <c r="AQ2337">
        <v>21000</v>
      </c>
      <c r="AR2337">
        <v>5475.9880436642661</v>
      </c>
      <c r="AS2337">
        <v>2500</v>
      </c>
      <c r="AT2337">
        <v>200</v>
      </c>
      <c r="AU2337">
        <v>100000</v>
      </c>
      <c r="AV2337">
        <v>2397.7487721124221</v>
      </c>
      <c r="AW2337">
        <v>3000</v>
      </c>
      <c r="AX2337">
        <v>285.71428571428601</v>
      </c>
      <c r="AY2337">
        <v>8333.3333333333303</v>
      </c>
      <c r="AZ2337">
        <v>5856.8204865562921</v>
      </c>
      <c r="BA2337">
        <v>2500</v>
      </c>
      <c r="BB2337">
        <v>240</v>
      </c>
      <c r="BC2337">
        <v>23333.333333333299</v>
      </c>
      <c r="BD2337">
        <v>1317</v>
      </c>
    </row>
    <row r="2339" spans="1:56" x14ac:dyDescent="0.25">
      <c r="A2339" t="s">
        <v>719</v>
      </c>
    </row>
    <row r="2340" spans="1:56" x14ac:dyDescent="0.25">
      <c r="A2340" t="s">
        <v>189</v>
      </c>
      <c r="B2340" t="s">
        <v>190</v>
      </c>
      <c r="C2340" t="s">
        <v>206</v>
      </c>
      <c r="D2340" t="s">
        <v>666</v>
      </c>
      <c r="E2340" t="s">
        <v>667</v>
      </c>
      <c r="F2340" t="s">
        <v>668</v>
      </c>
      <c r="G2340" t="s">
        <v>669</v>
      </c>
      <c r="H2340" t="s">
        <v>670</v>
      </c>
      <c r="I2340" t="s">
        <v>671</v>
      </c>
      <c r="J2340" t="s">
        <v>672</v>
      </c>
      <c r="K2340" t="s">
        <v>673</v>
      </c>
      <c r="L2340" t="s">
        <v>674</v>
      </c>
      <c r="M2340" t="s">
        <v>675</v>
      </c>
      <c r="N2340" t="s">
        <v>676</v>
      </c>
      <c r="O2340" t="s">
        <v>677</v>
      </c>
      <c r="P2340" t="s">
        <v>678</v>
      </c>
      <c r="Q2340" t="s">
        <v>679</v>
      </c>
      <c r="R2340" t="s">
        <v>680</v>
      </c>
      <c r="S2340" t="s">
        <v>681</v>
      </c>
      <c r="T2340" t="s">
        <v>682</v>
      </c>
      <c r="U2340" t="s">
        <v>683</v>
      </c>
      <c r="V2340" t="s">
        <v>684</v>
      </c>
      <c r="W2340" t="s">
        <v>685</v>
      </c>
      <c r="X2340" t="s">
        <v>686</v>
      </c>
      <c r="Y2340" t="s">
        <v>687</v>
      </c>
      <c r="Z2340" t="s">
        <v>688</v>
      </c>
      <c r="AA2340" t="s">
        <v>689</v>
      </c>
      <c r="AB2340" t="s">
        <v>690</v>
      </c>
      <c r="AC2340" t="s">
        <v>691</v>
      </c>
      <c r="AD2340" t="s">
        <v>692</v>
      </c>
      <c r="AE2340" t="s">
        <v>693</v>
      </c>
      <c r="AF2340" t="s">
        <v>694</v>
      </c>
      <c r="AG2340" t="s">
        <v>695</v>
      </c>
      <c r="AH2340" t="s">
        <v>696</v>
      </c>
      <c r="AI2340" t="s">
        <v>697</v>
      </c>
      <c r="AJ2340" t="s">
        <v>698</v>
      </c>
      <c r="AK2340" t="s">
        <v>699</v>
      </c>
      <c r="AL2340" t="s">
        <v>700</v>
      </c>
      <c r="AM2340" t="s">
        <v>701</v>
      </c>
      <c r="AN2340" t="s">
        <v>702</v>
      </c>
      <c r="AO2340" t="s">
        <v>703</v>
      </c>
      <c r="AP2340" t="s">
        <v>704</v>
      </c>
      <c r="AQ2340" t="s">
        <v>705</v>
      </c>
      <c r="AR2340" t="s">
        <v>706</v>
      </c>
      <c r="AS2340" t="s">
        <v>707</v>
      </c>
      <c r="AT2340" t="s">
        <v>708</v>
      </c>
      <c r="AU2340" t="s">
        <v>709</v>
      </c>
      <c r="AV2340" t="s">
        <v>710</v>
      </c>
      <c r="AW2340" t="s">
        <v>711</v>
      </c>
      <c r="AX2340" t="s">
        <v>712</v>
      </c>
      <c r="AY2340" t="s">
        <v>713</v>
      </c>
      <c r="AZ2340" t="s">
        <v>714</v>
      </c>
      <c r="BA2340" t="s">
        <v>715</v>
      </c>
      <c r="BB2340" t="s">
        <v>716</v>
      </c>
      <c r="BC2340" t="s">
        <v>717</v>
      </c>
      <c r="BD2340" t="s">
        <v>196</v>
      </c>
    </row>
    <row r="2341" spans="1:56" x14ac:dyDescent="0.25">
      <c r="A2341" t="s">
        <v>197</v>
      </c>
      <c r="B2341" t="s">
        <v>198</v>
      </c>
      <c r="C2341" t="s">
        <v>348</v>
      </c>
      <c r="D2341">
        <v>6845.8099316845046</v>
      </c>
      <c r="E2341">
        <v>5500</v>
      </c>
      <c r="F2341">
        <v>1625</v>
      </c>
      <c r="G2341">
        <v>30000</v>
      </c>
      <c r="H2341">
        <v>3218.597882796616</v>
      </c>
      <c r="I2341">
        <v>2500</v>
      </c>
      <c r="J2341">
        <v>100</v>
      </c>
      <c r="K2341">
        <v>11666.666666666701</v>
      </c>
      <c r="T2341">
        <v>1923.6553620716229</v>
      </c>
      <c r="U2341">
        <v>2000</v>
      </c>
      <c r="V2341">
        <v>666.66666666666697</v>
      </c>
      <c r="W2341">
        <v>2800</v>
      </c>
      <c r="X2341">
        <v>4026.250019819126</v>
      </c>
      <c r="Y2341">
        <v>3000</v>
      </c>
      <c r="Z2341">
        <v>875</v>
      </c>
      <c r="AA2341">
        <v>20000</v>
      </c>
      <c r="AB2341">
        <v>2633.1290529668081</v>
      </c>
      <c r="AC2341">
        <v>2000</v>
      </c>
      <c r="AD2341">
        <v>300</v>
      </c>
      <c r="AE2341">
        <v>7500</v>
      </c>
      <c r="AJ2341">
        <v>2311.1461392727069</v>
      </c>
      <c r="AK2341">
        <v>3333.3333333333298</v>
      </c>
      <c r="AL2341">
        <v>333.33333333333297</v>
      </c>
      <c r="AM2341">
        <v>6000</v>
      </c>
      <c r="AN2341">
        <v>15000</v>
      </c>
      <c r="AO2341">
        <v>15000</v>
      </c>
      <c r="AP2341">
        <v>15000</v>
      </c>
      <c r="AQ2341">
        <v>15000</v>
      </c>
      <c r="AR2341">
        <v>3833.333333333333</v>
      </c>
      <c r="AS2341">
        <v>7500</v>
      </c>
      <c r="AT2341">
        <v>1000</v>
      </c>
      <c r="AU2341">
        <v>7500</v>
      </c>
      <c r="AV2341">
        <v>3000</v>
      </c>
      <c r="AW2341">
        <v>3000</v>
      </c>
      <c r="AX2341">
        <v>3000</v>
      </c>
      <c r="AY2341">
        <v>3000</v>
      </c>
      <c r="BD2341">
        <v>1317</v>
      </c>
    </row>
    <row r="2342" spans="1:56" x14ac:dyDescent="0.25">
      <c r="A2342" t="s">
        <v>197</v>
      </c>
      <c r="B2342" t="s">
        <v>198</v>
      </c>
      <c r="C2342" t="s">
        <v>349</v>
      </c>
      <c r="D2342">
        <v>2600</v>
      </c>
      <c r="E2342">
        <v>2600</v>
      </c>
      <c r="F2342">
        <v>2600</v>
      </c>
      <c r="G2342">
        <v>2600</v>
      </c>
      <c r="T2342">
        <v>2133.3333333333348</v>
      </c>
      <c r="U2342">
        <v>1600</v>
      </c>
      <c r="V2342">
        <v>1600</v>
      </c>
      <c r="W2342">
        <v>2666.6666666666702</v>
      </c>
      <c r="X2342">
        <v>860</v>
      </c>
      <c r="Y2342">
        <v>860</v>
      </c>
      <c r="Z2342">
        <v>860</v>
      </c>
      <c r="AA2342">
        <v>860</v>
      </c>
      <c r="AB2342">
        <v>3000</v>
      </c>
      <c r="AC2342">
        <v>3000</v>
      </c>
      <c r="AD2342">
        <v>3000</v>
      </c>
      <c r="AE2342">
        <v>3000</v>
      </c>
      <c r="BD2342">
        <v>1317</v>
      </c>
    </row>
    <row r="2343" spans="1:56" x14ac:dyDescent="0.25">
      <c r="A2343" t="s">
        <v>199</v>
      </c>
      <c r="B2343" t="s">
        <v>198</v>
      </c>
      <c r="C2343" t="s">
        <v>348</v>
      </c>
      <c r="D2343">
        <v>10806.563172116321</v>
      </c>
      <c r="E2343">
        <v>8333.3333333333303</v>
      </c>
      <c r="F2343">
        <v>1000</v>
      </c>
      <c r="G2343">
        <v>27000</v>
      </c>
      <c r="H2343">
        <v>5273.7939023453901</v>
      </c>
      <c r="I2343">
        <v>5000</v>
      </c>
      <c r="J2343">
        <v>66.6666666666667</v>
      </c>
      <c r="K2343">
        <v>12500</v>
      </c>
      <c r="T2343">
        <v>1652.3489115352979</v>
      </c>
      <c r="U2343">
        <v>2000</v>
      </c>
      <c r="V2343">
        <v>500</v>
      </c>
      <c r="W2343">
        <v>3000</v>
      </c>
      <c r="X2343">
        <v>3008.430892316449</v>
      </c>
      <c r="Y2343">
        <v>3000</v>
      </c>
      <c r="Z2343">
        <v>500</v>
      </c>
      <c r="AA2343">
        <v>10000</v>
      </c>
      <c r="AB2343">
        <v>1882.207940767792</v>
      </c>
      <c r="AC2343">
        <v>4200</v>
      </c>
      <c r="AD2343">
        <v>286.66666666666703</v>
      </c>
      <c r="AE2343">
        <v>4200</v>
      </c>
      <c r="AF2343">
        <v>2500</v>
      </c>
      <c r="AG2343">
        <v>2500</v>
      </c>
      <c r="AH2343">
        <v>2500</v>
      </c>
      <c r="AI2343">
        <v>2500</v>
      </c>
      <c r="AJ2343">
        <v>3833.3333333333348</v>
      </c>
      <c r="AK2343">
        <v>2666.6666666666702</v>
      </c>
      <c r="AL2343">
        <v>2666.6666666666702</v>
      </c>
      <c r="AM2343">
        <v>5000</v>
      </c>
      <c r="BD2343">
        <v>1317</v>
      </c>
    </row>
    <row r="2344" spans="1:56" x14ac:dyDescent="0.25">
      <c r="A2344" t="s">
        <v>199</v>
      </c>
      <c r="B2344" t="s">
        <v>198</v>
      </c>
      <c r="C2344" t="s">
        <v>349</v>
      </c>
      <c r="D2344">
        <v>9346.6870914037245</v>
      </c>
      <c r="E2344">
        <v>8000</v>
      </c>
      <c r="F2344">
        <v>1000</v>
      </c>
      <c r="G2344">
        <v>21500</v>
      </c>
      <c r="H2344">
        <v>7073.8235688209188</v>
      </c>
      <c r="I2344">
        <v>8000</v>
      </c>
      <c r="J2344">
        <v>1000</v>
      </c>
      <c r="K2344">
        <v>37000</v>
      </c>
      <c r="L2344">
        <v>3105.916489020994</v>
      </c>
      <c r="M2344">
        <v>3000</v>
      </c>
      <c r="N2344">
        <v>3000</v>
      </c>
      <c r="O2344">
        <v>4000</v>
      </c>
      <c r="P2344">
        <v>956.54497855353782</v>
      </c>
      <c r="Q2344">
        <v>1666.6666666666699</v>
      </c>
      <c r="R2344">
        <v>166.666666666667</v>
      </c>
      <c r="S2344">
        <v>2500</v>
      </c>
      <c r="T2344">
        <v>1873.3192735553389</v>
      </c>
      <c r="U2344">
        <v>1666.6666666666699</v>
      </c>
      <c r="V2344">
        <v>400</v>
      </c>
      <c r="W2344">
        <v>7500</v>
      </c>
      <c r="X2344">
        <v>3587.180112009667</v>
      </c>
      <c r="Y2344">
        <v>3000</v>
      </c>
      <c r="Z2344">
        <v>666.66666666666697</v>
      </c>
      <c r="AA2344">
        <v>8473</v>
      </c>
      <c r="AB2344">
        <v>1239.880283252588</v>
      </c>
      <c r="AC2344">
        <v>1333.3333333333301</v>
      </c>
      <c r="AD2344">
        <v>125</v>
      </c>
      <c r="AE2344">
        <v>5000</v>
      </c>
      <c r="AJ2344">
        <v>2050.8441867905399</v>
      </c>
      <c r="AK2344">
        <v>8000</v>
      </c>
      <c r="AL2344">
        <v>333.33333333333297</v>
      </c>
      <c r="AM2344">
        <v>8000</v>
      </c>
      <c r="AN2344">
        <v>1200.910815506687</v>
      </c>
      <c r="AO2344">
        <v>750</v>
      </c>
      <c r="AP2344">
        <v>500</v>
      </c>
      <c r="AQ2344">
        <v>18250</v>
      </c>
      <c r="AR2344">
        <v>2098.375228448745</v>
      </c>
      <c r="AS2344">
        <v>3000</v>
      </c>
      <c r="AT2344">
        <v>500</v>
      </c>
      <c r="AU2344">
        <v>3000</v>
      </c>
      <c r="AV2344">
        <v>500</v>
      </c>
      <c r="AW2344">
        <v>500</v>
      </c>
      <c r="AX2344">
        <v>500</v>
      </c>
      <c r="AY2344">
        <v>500</v>
      </c>
      <c r="AZ2344">
        <v>1483.333333333333</v>
      </c>
      <c r="BA2344">
        <v>466.66666666666703</v>
      </c>
      <c r="BB2344">
        <v>466.66666666666703</v>
      </c>
      <c r="BC2344">
        <v>2500</v>
      </c>
      <c r="BD2344">
        <v>1317</v>
      </c>
    </row>
    <row r="2345" spans="1:56" x14ac:dyDescent="0.25">
      <c r="A2345" t="s">
        <v>199</v>
      </c>
      <c r="B2345" t="s">
        <v>198</v>
      </c>
      <c r="C2345" t="s">
        <v>350</v>
      </c>
      <c r="D2345">
        <v>6581.2920213019588</v>
      </c>
      <c r="E2345">
        <v>5750</v>
      </c>
      <c r="F2345">
        <v>533.33333333333303</v>
      </c>
      <c r="G2345">
        <v>30000</v>
      </c>
      <c r="H2345">
        <v>3710.8419493312981</v>
      </c>
      <c r="I2345">
        <v>3500</v>
      </c>
      <c r="J2345">
        <v>100</v>
      </c>
      <c r="K2345">
        <v>8333.3333333333303</v>
      </c>
      <c r="P2345">
        <v>4991.3411138889787</v>
      </c>
      <c r="Q2345">
        <v>5000</v>
      </c>
      <c r="R2345">
        <v>3750</v>
      </c>
      <c r="S2345">
        <v>13000</v>
      </c>
      <c r="T2345">
        <v>2030.2428198744519</v>
      </c>
      <c r="U2345">
        <v>2250</v>
      </c>
      <c r="V2345">
        <v>333.33333333333297</v>
      </c>
      <c r="W2345">
        <v>3000</v>
      </c>
      <c r="X2345">
        <v>3079.5392294535031</v>
      </c>
      <c r="Y2345">
        <v>2800</v>
      </c>
      <c r="Z2345">
        <v>287.5</v>
      </c>
      <c r="AA2345">
        <v>7500</v>
      </c>
      <c r="AB2345">
        <v>3481.5226397316119</v>
      </c>
      <c r="AC2345">
        <v>1000</v>
      </c>
      <c r="AD2345">
        <v>172</v>
      </c>
      <c r="AE2345">
        <v>113333.33333333299</v>
      </c>
      <c r="AF2345">
        <v>93.75</v>
      </c>
      <c r="AG2345">
        <v>93.75</v>
      </c>
      <c r="AH2345">
        <v>93.75</v>
      </c>
      <c r="AI2345">
        <v>93.75</v>
      </c>
      <c r="AJ2345">
        <v>1325.7984040464121</v>
      </c>
      <c r="AK2345">
        <v>600</v>
      </c>
      <c r="AL2345">
        <v>428.57142857142901</v>
      </c>
      <c r="AM2345">
        <v>7000</v>
      </c>
      <c r="AN2345">
        <v>2737.6938668879102</v>
      </c>
      <c r="AO2345">
        <v>2200</v>
      </c>
      <c r="AP2345">
        <v>150</v>
      </c>
      <c r="AQ2345">
        <v>10500</v>
      </c>
      <c r="AR2345">
        <v>8310.6833901154205</v>
      </c>
      <c r="AS2345">
        <v>10000</v>
      </c>
      <c r="AT2345">
        <v>1250</v>
      </c>
      <c r="AU2345">
        <v>10000</v>
      </c>
      <c r="AV2345">
        <v>1320</v>
      </c>
      <c r="AW2345">
        <v>1320</v>
      </c>
      <c r="AX2345">
        <v>1320</v>
      </c>
      <c r="AY2345">
        <v>1320</v>
      </c>
      <c r="AZ2345">
        <v>7407.5436437314429</v>
      </c>
      <c r="BA2345">
        <v>15000</v>
      </c>
      <c r="BB2345">
        <v>800</v>
      </c>
      <c r="BC2345">
        <v>15000</v>
      </c>
      <c r="BD2345">
        <v>1317</v>
      </c>
    </row>
    <row r="2346" spans="1:56" x14ac:dyDescent="0.25">
      <c r="A2346" t="s">
        <v>200</v>
      </c>
      <c r="B2346" t="s">
        <v>198</v>
      </c>
      <c r="C2346" t="s">
        <v>348</v>
      </c>
      <c r="D2346">
        <v>10532.76338809421</v>
      </c>
      <c r="E2346">
        <v>8250</v>
      </c>
      <c r="F2346">
        <v>375</v>
      </c>
      <c r="G2346">
        <v>52000</v>
      </c>
      <c r="H2346">
        <v>3746.3665290625672</v>
      </c>
      <c r="I2346">
        <v>3750</v>
      </c>
      <c r="J2346">
        <v>150</v>
      </c>
      <c r="K2346">
        <v>10000</v>
      </c>
      <c r="L2346">
        <v>21015.084030715319</v>
      </c>
      <c r="M2346">
        <v>16666.666666666701</v>
      </c>
      <c r="N2346">
        <v>7500</v>
      </c>
      <c r="O2346">
        <v>50000</v>
      </c>
      <c r="P2346">
        <v>3383.1327542033209</v>
      </c>
      <c r="Q2346">
        <v>3750</v>
      </c>
      <c r="R2346">
        <v>2666.6666666666702</v>
      </c>
      <c r="S2346">
        <v>3750</v>
      </c>
      <c r="T2346">
        <v>1692.8910117354851</v>
      </c>
      <c r="U2346">
        <v>2000</v>
      </c>
      <c r="V2346">
        <v>500</v>
      </c>
      <c r="W2346">
        <v>3000</v>
      </c>
      <c r="X2346">
        <v>2983.8868488329331</v>
      </c>
      <c r="Y2346">
        <v>2500</v>
      </c>
      <c r="Z2346">
        <v>571.42857142857099</v>
      </c>
      <c r="AA2346">
        <v>9000</v>
      </c>
      <c r="AB2346">
        <v>1014.705523170967</v>
      </c>
      <c r="AC2346">
        <v>720</v>
      </c>
      <c r="AD2346">
        <v>86</v>
      </c>
      <c r="AE2346">
        <v>5300</v>
      </c>
      <c r="AJ2346">
        <v>5121.5585338483434</v>
      </c>
      <c r="AK2346">
        <v>10000</v>
      </c>
      <c r="AL2346">
        <v>1000</v>
      </c>
      <c r="AM2346">
        <v>10000</v>
      </c>
      <c r="AN2346">
        <v>10800</v>
      </c>
      <c r="AO2346">
        <v>10800</v>
      </c>
      <c r="AP2346">
        <v>10800</v>
      </c>
      <c r="AQ2346">
        <v>10800</v>
      </c>
      <c r="AR2346">
        <v>4331.2950184485326</v>
      </c>
      <c r="AS2346">
        <v>5000</v>
      </c>
      <c r="AT2346">
        <v>200</v>
      </c>
      <c r="AU2346">
        <v>10000</v>
      </c>
      <c r="AV2346">
        <v>593.5172505863884</v>
      </c>
      <c r="AW2346">
        <v>285.71428571428601</v>
      </c>
      <c r="AX2346">
        <v>285.71428571428601</v>
      </c>
      <c r="AY2346">
        <v>1333.3333333333301</v>
      </c>
      <c r="AZ2346">
        <v>16666.666666666701</v>
      </c>
      <c r="BA2346">
        <v>16666.666666666701</v>
      </c>
      <c r="BB2346">
        <v>16666.666666666701</v>
      </c>
      <c r="BC2346">
        <v>16666.666666666701</v>
      </c>
      <c r="BD2346">
        <v>1317</v>
      </c>
    </row>
    <row r="2347" spans="1:56" x14ac:dyDescent="0.25">
      <c r="A2347" t="s">
        <v>200</v>
      </c>
      <c r="B2347" t="s">
        <v>198</v>
      </c>
      <c r="C2347" t="s">
        <v>349</v>
      </c>
      <c r="D2347">
        <v>8896.6210505455583</v>
      </c>
      <c r="E2347">
        <v>6500</v>
      </c>
      <c r="F2347">
        <v>1000</v>
      </c>
      <c r="G2347">
        <v>28000</v>
      </c>
      <c r="H2347">
        <v>2611.9403334512531</v>
      </c>
      <c r="I2347">
        <v>3800</v>
      </c>
      <c r="J2347">
        <v>28.571428571428601</v>
      </c>
      <c r="K2347">
        <v>5000</v>
      </c>
      <c r="L2347">
        <v>15459.349770309411</v>
      </c>
      <c r="M2347">
        <v>20000</v>
      </c>
      <c r="N2347">
        <v>666.66666666666697</v>
      </c>
      <c r="O2347">
        <v>20000</v>
      </c>
      <c r="P2347">
        <v>1577.8632487616169</v>
      </c>
      <c r="Q2347">
        <v>1500</v>
      </c>
      <c r="R2347">
        <v>1500</v>
      </c>
      <c r="S2347">
        <v>2333.3333333333298</v>
      </c>
      <c r="T2347">
        <v>2114.0392816014842</v>
      </c>
      <c r="U2347">
        <v>2000</v>
      </c>
      <c r="V2347">
        <v>400</v>
      </c>
      <c r="W2347">
        <v>2714.2857142857101</v>
      </c>
      <c r="X2347">
        <v>3469.5533504836949</v>
      </c>
      <c r="Y2347">
        <v>3800</v>
      </c>
      <c r="Z2347">
        <v>888.88888888888903</v>
      </c>
      <c r="AA2347">
        <v>7666.6666666666697</v>
      </c>
      <c r="AB2347">
        <v>1030.346269402814</v>
      </c>
      <c r="AC2347">
        <v>900</v>
      </c>
      <c r="AD2347">
        <v>215</v>
      </c>
      <c r="AE2347">
        <v>3150</v>
      </c>
      <c r="AF2347">
        <v>187.5</v>
      </c>
      <c r="AG2347">
        <v>187.5</v>
      </c>
      <c r="AH2347">
        <v>187.5</v>
      </c>
      <c r="AI2347">
        <v>187.5</v>
      </c>
      <c r="AR2347">
        <v>1449.504684189249</v>
      </c>
      <c r="AS2347">
        <v>2666.6666666666702</v>
      </c>
      <c r="AT2347">
        <v>500</v>
      </c>
      <c r="AU2347">
        <v>3333.3333333333298</v>
      </c>
      <c r="BD2347">
        <v>1317</v>
      </c>
    </row>
    <row r="2348" spans="1:56" x14ac:dyDescent="0.25">
      <c r="A2348" t="s">
        <v>200</v>
      </c>
      <c r="B2348" t="s">
        <v>198</v>
      </c>
      <c r="C2348" t="s">
        <v>350</v>
      </c>
      <c r="D2348">
        <v>4287.2010770215802</v>
      </c>
      <c r="E2348">
        <v>4000</v>
      </c>
      <c r="F2348">
        <v>1000</v>
      </c>
      <c r="G2348">
        <v>10000</v>
      </c>
      <c r="H2348">
        <v>2825.9254052044289</v>
      </c>
      <c r="I2348">
        <v>2333.3333333333298</v>
      </c>
      <c r="J2348">
        <v>625</v>
      </c>
      <c r="K2348">
        <v>5000</v>
      </c>
      <c r="P2348">
        <v>638.99220485223361</v>
      </c>
      <c r="Q2348">
        <v>1000</v>
      </c>
      <c r="R2348">
        <v>333.33333333333297</v>
      </c>
      <c r="S2348">
        <v>1000</v>
      </c>
      <c r="T2348">
        <v>2169.2532524889898</v>
      </c>
      <c r="U2348">
        <v>2333.3333333333298</v>
      </c>
      <c r="V2348">
        <v>666.66666666666697</v>
      </c>
      <c r="W2348">
        <v>3333.3333333333298</v>
      </c>
      <c r="X2348">
        <v>2321.1825004636489</v>
      </c>
      <c r="Y2348">
        <v>1600</v>
      </c>
      <c r="Z2348">
        <v>450</v>
      </c>
      <c r="AA2348">
        <v>10000</v>
      </c>
      <c r="AB2348">
        <v>1681.8955999119919</v>
      </c>
      <c r="AC2348">
        <v>1500</v>
      </c>
      <c r="AD2348">
        <v>215</v>
      </c>
      <c r="AE2348">
        <v>5000</v>
      </c>
      <c r="AJ2348">
        <v>1312.5012953367079</v>
      </c>
      <c r="AK2348">
        <v>1333.3333333333301</v>
      </c>
      <c r="AL2348">
        <v>833.33333333333303</v>
      </c>
      <c r="AM2348">
        <v>1333.3333333333301</v>
      </c>
      <c r="AN2348">
        <v>3533.3333333333289</v>
      </c>
      <c r="AO2348">
        <v>3533.3333333333298</v>
      </c>
      <c r="AP2348">
        <v>3533.3333333333298</v>
      </c>
      <c r="AQ2348">
        <v>3533.3333333333298</v>
      </c>
      <c r="AR2348">
        <v>3076.1365043456649</v>
      </c>
      <c r="AS2348">
        <v>1666.6666666666699</v>
      </c>
      <c r="AT2348">
        <v>350</v>
      </c>
      <c r="AU2348">
        <v>7000</v>
      </c>
      <c r="AZ2348">
        <v>666.66666666666697</v>
      </c>
      <c r="BA2348">
        <v>666.66666666666697</v>
      </c>
      <c r="BB2348">
        <v>666.66666666666697</v>
      </c>
      <c r="BC2348">
        <v>666.66666666666697</v>
      </c>
      <c r="BD2348">
        <v>1317</v>
      </c>
    </row>
    <row r="2349" spans="1:56" x14ac:dyDescent="0.25">
      <c r="A2349" t="s">
        <v>201</v>
      </c>
      <c r="B2349" t="s">
        <v>198</v>
      </c>
      <c r="C2349" t="s">
        <v>348</v>
      </c>
      <c r="D2349">
        <v>6456.5864541819346</v>
      </c>
      <c r="E2349">
        <v>7333.3333333333303</v>
      </c>
      <c r="F2349">
        <v>888.88888888888903</v>
      </c>
      <c r="G2349">
        <v>20000</v>
      </c>
      <c r="H2349">
        <v>3573.3365504386152</v>
      </c>
      <c r="I2349">
        <v>3600</v>
      </c>
      <c r="J2349">
        <v>216.666666666667</v>
      </c>
      <c r="K2349">
        <v>7500</v>
      </c>
      <c r="L2349">
        <v>6255.4888344792407</v>
      </c>
      <c r="M2349">
        <v>4000</v>
      </c>
      <c r="N2349">
        <v>1666.6666666666699</v>
      </c>
      <c r="O2349">
        <v>15000</v>
      </c>
      <c r="P2349">
        <v>500</v>
      </c>
      <c r="Q2349">
        <v>500</v>
      </c>
      <c r="R2349">
        <v>500</v>
      </c>
      <c r="S2349">
        <v>500</v>
      </c>
      <c r="T2349">
        <v>2504.5159055075392</v>
      </c>
      <c r="U2349">
        <v>2333.3333333333298</v>
      </c>
      <c r="V2349">
        <v>500</v>
      </c>
      <c r="W2349">
        <v>8000</v>
      </c>
      <c r="X2349">
        <v>2395.7147103191819</v>
      </c>
      <c r="Y2349">
        <v>2233.3333333333298</v>
      </c>
      <c r="Z2349">
        <v>433.33333333333297</v>
      </c>
      <c r="AA2349">
        <v>7000</v>
      </c>
      <c r="AB2349">
        <v>1743.3944195878</v>
      </c>
      <c r="AC2349">
        <v>2633.3333333333298</v>
      </c>
      <c r="AD2349">
        <v>122.857142857143</v>
      </c>
      <c r="AE2349">
        <v>4333.3333333333303</v>
      </c>
      <c r="AN2349">
        <v>1161.7076111510919</v>
      </c>
      <c r="AO2349">
        <v>1500</v>
      </c>
      <c r="AP2349">
        <v>200</v>
      </c>
      <c r="AQ2349">
        <v>1500</v>
      </c>
      <c r="AR2349">
        <v>4060.3759086008681</v>
      </c>
      <c r="AS2349">
        <v>5000</v>
      </c>
      <c r="AT2349">
        <v>400</v>
      </c>
      <c r="AU2349">
        <v>5000</v>
      </c>
      <c r="BD2349">
        <v>1317</v>
      </c>
    </row>
    <row r="2350" spans="1:56" x14ac:dyDescent="0.25">
      <c r="A2350" t="s">
        <v>201</v>
      </c>
      <c r="B2350" t="s">
        <v>198</v>
      </c>
      <c r="C2350" t="s">
        <v>349</v>
      </c>
      <c r="D2350">
        <v>7752.4446616986543</v>
      </c>
      <c r="E2350">
        <v>6000</v>
      </c>
      <c r="F2350">
        <v>1000</v>
      </c>
      <c r="G2350">
        <v>33000</v>
      </c>
      <c r="H2350">
        <v>2818.3229297369448</v>
      </c>
      <c r="I2350">
        <v>1600</v>
      </c>
      <c r="J2350">
        <v>250</v>
      </c>
      <c r="K2350">
        <v>9000</v>
      </c>
      <c r="L2350">
        <v>5000</v>
      </c>
      <c r="M2350">
        <v>5000</v>
      </c>
      <c r="N2350">
        <v>5000</v>
      </c>
      <c r="O2350">
        <v>5000</v>
      </c>
      <c r="P2350">
        <v>1166.6666666666699</v>
      </c>
      <c r="Q2350">
        <v>1166.6666666666699</v>
      </c>
      <c r="R2350">
        <v>1166.6666666666699</v>
      </c>
      <c r="S2350">
        <v>1166.6666666666699</v>
      </c>
      <c r="T2350">
        <v>1732.096114809973</v>
      </c>
      <c r="U2350">
        <v>2000</v>
      </c>
      <c r="V2350">
        <v>333.33333333333297</v>
      </c>
      <c r="W2350">
        <v>6000</v>
      </c>
      <c r="X2350">
        <v>2256.9551957118802</v>
      </c>
      <c r="Y2350">
        <v>1333.3333333333301</v>
      </c>
      <c r="Z2350">
        <v>575</v>
      </c>
      <c r="AA2350">
        <v>7100</v>
      </c>
      <c r="AB2350">
        <v>1837.39795202344</v>
      </c>
      <c r="AC2350">
        <v>1180.5</v>
      </c>
      <c r="AD2350">
        <v>143.333333333333</v>
      </c>
      <c r="AE2350">
        <v>10800</v>
      </c>
      <c r="AJ2350">
        <v>3294.76839837443</v>
      </c>
      <c r="AK2350">
        <v>5000</v>
      </c>
      <c r="AL2350">
        <v>1500</v>
      </c>
      <c r="AM2350">
        <v>5666.6666666666697</v>
      </c>
      <c r="AN2350">
        <v>1032.5812757515339</v>
      </c>
      <c r="AO2350">
        <v>1500</v>
      </c>
      <c r="AP2350">
        <v>83.3333333333333</v>
      </c>
      <c r="AQ2350">
        <v>3600</v>
      </c>
      <c r="AR2350">
        <v>2608.0742248326842</v>
      </c>
      <c r="AS2350">
        <v>1666.6666666666699</v>
      </c>
      <c r="AT2350">
        <v>500</v>
      </c>
      <c r="AU2350">
        <v>10000</v>
      </c>
      <c r="AV2350">
        <v>3000</v>
      </c>
      <c r="AW2350">
        <v>3000</v>
      </c>
      <c r="AX2350">
        <v>3000</v>
      </c>
      <c r="AY2350">
        <v>3000</v>
      </c>
      <c r="BD2350">
        <v>1317</v>
      </c>
    </row>
    <row r="2351" spans="1:56" x14ac:dyDescent="0.25">
      <c r="A2351" t="s">
        <v>201</v>
      </c>
      <c r="B2351" t="s">
        <v>198</v>
      </c>
      <c r="C2351" t="s">
        <v>350</v>
      </c>
      <c r="D2351">
        <v>8871.4953733357215</v>
      </c>
      <c r="E2351">
        <v>6666.6666666666697</v>
      </c>
      <c r="F2351">
        <v>714.28571428571399</v>
      </c>
      <c r="G2351">
        <v>25000</v>
      </c>
      <c r="H2351">
        <v>2027.547613615789</v>
      </c>
      <c r="I2351">
        <v>3333.3333333333298</v>
      </c>
      <c r="J2351">
        <v>666.66666666666697</v>
      </c>
      <c r="K2351">
        <v>5000</v>
      </c>
      <c r="L2351">
        <v>1500</v>
      </c>
      <c r="M2351">
        <v>1500</v>
      </c>
      <c r="N2351">
        <v>1500</v>
      </c>
      <c r="O2351">
        <v>1500</v>
      </c>
      <c r="P2351">
        <v>800</v>
      </c>
      <c r="Q2351">
        <v>800</v>
      </c>
      <c r="R2351">
        <v>800</v>
      </c>
      <c r="S2351">
        <v>800</v>
      </c>
      <c r="T2351">
        <v>1857.9652314169621</v>
      </c>
      <c r="U2351">
        <v>2000</v>
      </c>
      <c r="V2351">
        <v>1000</v>
      </c>
      <c r="W2351">
        <v>3000</v>
      </c>
      <c r="X2351">
        <v>3627.0375900386612</v>
      </c>
      <c r="Y2351">
        <v>3985</v>
      </c>
      <c r="Z2351">
        <v>642.857142857143</v>
      </c>
      <c r="AA2351">
        <v>8000</v>
      </c>
      <c r="AB2351">
        <v>1376.422761004266</v>
      </c>
      <c r="AC2351">
        <v>1350</v>
      </c>
      <c r="AD2351">
        <v>215</v>
      </c>
      <c r="AE2351">
        <v>3600</v>
      </c>
      <c r="AN2351">
        <v>7080.1906155618444</v>
      </c>
      <c r="AO2351">
        <v>6000</v>
      </c>
      <c r="AP2351">
        <v>3200</v>
      </c>
      <c r="AQ2351">
        <v>10800</v>
      </c>
      <c r="AR2351">
        <v>6368.3946452858818</v>
      </c>
      <c r="AS2351">
        <v>10000</v>
      </c>
      <c r="AT2351">
        <v>1200</v>
      </c>
      <c r="AU2351">
        <v>19000</v>
      </c>
      <c r="BD2351">
        <v>1317</v>
      </c>
    </row>
    <row r="2352" spans="1:56" x14ac:dyDescent="0.25">
      <c r="A2352" t="s">
        <v>202</v>
      </c>
      <c r="B2352" t="s">
        <v>198</v>
      </c>
      <c r="C2352" t="s">
        <v>348</v>
      </c>
      <c r="D2352">
        <v>8562.6421519231353</v>
      </c>
      <c r="E2352">
        <v>7150</v>
      </c>
      <c r="F2352">
        <v>1166.6666666666699</v>
      </c>
      <c r="G2352">
        <v>30000</v>
      </c>
      <c r="H2352">
        <v>9488.5502616052727</v>
      </c>
      <c r="I2352">
        <v>12000</v>
      </c>
      <c r="J2352">
        <v>750</v>
      </c>
      <c r="K2352">
        <v>20000</v>
      </c>
      <c r="P2352">
        <v>750</v>
      </c>
      <c r="Q2352">
        <v>750</v>
      </c>
      <c r="R2352">
        <v>750</v>
      </c>
      <c r="S2352">
        <v>750</v>
      </c>
      <c r="T2352">
        <v>2038.145558475074</v>
      </c>
      <c r="U2352">
        <v>2000</v>
      </c>
      <c r="V2352">
        <v>500</v>
      </c>
      <c r="W2352">
        <v>5250</v>
      </c>
      <c r="X2352">
        <v>3738.2606244445428</v>
      </c>
      <c r="Y2352">
        <v>2900</v>
      </c>
      <c r="Z2352">
        <v>1000</v>
      </c>
      <c r="AA2352">
        <v>12000</v>
      </c>
      <c r="AB2352">
        <v>1995.422087638578</v>
      </c>
      <c r="AC2352">
        <v>1500</v>
      </c>
      <c r="AD2352">
        <v>215</v>
      </c>
      <c r="AE2352">
        <v>22000</v>
      </c>
      <c r="AJ2352">
        <v>1000</v>
      </c>
      <c r="AK2352">
        <v>1000</v>
      </c>
      <c r="AL2352">
        <v>1000</v>
      </c>
      <c r="AM2352">
        <v>1000</v>
      </c>
      <c r="AN2352">
        <v>2001.7221070919511</v>
      </c>
      <c r="AO2352">
        <v>1800</v>
      </c>
      <c r="AP2352">
        <v>500</v>
      </c>
      <c r="AQ2352">
        <v>6600</v>
      </c>
      <c r="AR2352">
        <v>16086.706289008391</v>
      </c>
      <c r="AS2352">
        <v>15000</v>
      </c>
      <c r="AT2352">
        <v>200</v>
      </c>
      <c r="AU2352">
        <v>75000</v>
      </c>
      <c r="BD2352">
        <v>1317</v>
      </c>
    </row>
    <row r="2353" spans="1:56" x14ac:dyDescent="0.25">
      <c r="A2353" t="s">
        <v>199</v>
      </c>
      <c r="B2353" t="s">
        <v>203</v>
      </c>
      <c r="C2353" t="s">
        <v>348</v>
      </c>
      <c r="D2353">
        <v>7743.7840821835662</v>
      </c>
      <c r="E2353">
        <v>8333.3333333333303</v>
      </c>
      <c r="F2353">
        <v>1625</v>
      </c>
      <c r="G2353">
        <v>14000</v>
      </c>
      <c r="H2353">
        <v>7180.1803399353385</v>
      </c>
      <c r="I2353">
        <v>8333.3333333333303</v>
      </c>
      <c r="J2353">
        <v>1333.3333333333301</v>
      </c>
      <c r="K2353">
        <v>28000</v>
      </c>
      <c r="P2353">
        <v>10000</v>
      </c>
      <c r="Q2353">
        <v>10000</v>
      </c>
      <c r="R2353">
        <v>10000</v>
      </c>
      <c r="S2353">
        <v>10000</v>
      </c>
      <c r="T2353">
        <v>2000</v>
      </c>
      <c r="U2353">
        <v>2000</v>
      </c>
      <c r="V2353">
        <v>2000</v>
      </c>
      <c r="W2353">
        <v>2000</v>
      </c>
      <c r="X2353">
        <v>5343.8429416510598</v>
      </c>
      <c r="Y2353">
        <v>7000</v>
      </c>
      <c r="Z2353">
        <v>1325</v>
      </c>
      <c r="AA2353">
        <v>7000</v>
      </c>
      <c r="AB2353">
        <v>589.52223618742255</v>
      </c>
      <c r="AC2353">
        <v>286.66666666666703</v>
      </c>
      <c r="AD2353">
        <v>215</v>
      </c>
      <c r="AE2353">
        <v>6500</v>
      </c>
      <c r="AF2353">
        <v>1750</v>
      </c>
      <c r="AG2353">
        <v>1750</v>
      </c>
      <c r="AH2353">
        <v>1750</v>
      </c>
      <c r="AI2353">
        <v>1750</v>
      </c>
      <c r="AJ2353">
        <v>10000</v>
      </c>
      <c r="AK2353">
        <v>10000</v>
      </c>
      <c r="AL2353">
        <v>10000</v>
      </c>
      <c r="AM2353">
        <v>10000</v>
      </c>
      <c r="AR2353">
        <v>1424.284065366096</v>
      </c>
      <c r="AS2353">
        <v>1666.6666666666699</v>
      </c>
      <c r="AT2353">
        <v>750</v>
      </c>
      <c r="AU2353">
        <v>3333.3333333333298</v>
      </c>
      <c r="BD2353">
        <v>1317</v>
      </c>
    </row>
    <row r="2354" spans="1:56" x14ac:dyDescent="0.25">
      <c r="A2354" t="s">
        <v>199</v>
      </c>
      <c r="B2354" t="s">
        <v>203</v>
      </c>
      <c r="C2354" t="s">
        <v>349</v>
      </c>
      <c r="D2354">
        <v>7873.6199833484834</v>
      </c>
      <c r="E2354">
        <v>7500</v>
      </c>
      <c r="F2354">
        <v>1250</v>
      </c>
      <c r="G2354">
        <v>65000</v>
      </c>
      <c r="H2354">
        <v>2764.537542098411</v>
      </c>
      <c r="I2354">
        <v>3000</v>
      </c>
      <c r="J2354">
        <v>250</v>
      </c>
      <c r="K2354">
        <v>20000</v>
      </c>
      <c r="L2354">
        <v>25079.724099477331</v>
      </c>
      <c r="M2354">
        <v>30000</v>
      </c>
      <c r="N2354">
        <v>1250</v>
      </c>
      <c r="O2354">
        <v>33333.333333333299</v>
      </c>
      <c r="P2354">
        <v>1059.008021505131</v>
      </c>
      <c r="Q2354">
        <v>2200</v>
      </c>
      <c r="R2354">
        <v>166.666666666667</v>
      </c>
      <c r="S2354">
        <v>2200</v>
      </c>
      <c r="T2354">
        <v>1201.8380426075371</v>
      </c>
      <c r="U2354">
        <v>1000</v>
      </c>
      <c r="V2354">
        <v>500</v>
      </c>
      <c r="W2354">
        <v>2000</v>
      </c>
      <c r="X2354">
        <v>2708.1288592455599</v>
      </c>
      <c r="Y2354">
        <v>2350</v>
      </c>
      <c r="Z2354">
        <v>583.33333333333303</v>
      </c>
      <c r="AA2354">
        <v>12000</v>
      </c>
      <c r="AB2354">
        <v>1610.86107021678</v>
      </c>
      <c r="AC2354">
        <v>283.33333333333297</v>
      </c>
      <c r="AD2354">
        <v>143.333333333333</v>
      </c>
      <c r="AE2354">
        <v>20000</v>
      </c>
      <c r="AF2354">
        <v>1777.1852926941131</v>
      </c>
      <c r="AG2354">
        <v>1500</v>
      </c>
      <c r="AH2354">
        <v>104.25</v>
      </c>
      <c r="AI2354">
        <v>5000</v>
      </c>
      <c r="AJ2354">
        <v>5569.1889868763874</v>
      </c>
      <c r="AK2354">
        <v>10000</v>
      </c>
      <c r="AL2354">
        <v>2000</v>
      </c>
      <c r="AM2354">
        <v>10000</v>
      </c>
      <c r="AN2354">
        <v>6006.8937423292218</v>
      </c>
      <c r="AO2354">
        <v>10800</v>
      </c>
      <c r="AP2354">
        <v>3333.3333333333298</v>
      </c>
      <c r="AQ2354">
        <v>21000</v>
      </c>
      <c r="AR2354">
        <v>1990.2706397559509</v>
      </c>
      <c r="AS2354">
        <v>2000</v>
      </c>
      <c r="AT2354">
        <v>1000</v>
      </c>
      <c r="AU2354">
        <v>5000</v>
      </c>
      <c r="AV2354">
        <v>3000</v>
      </c>
      <c r="AW2354">
        <v>3000</v>
      </c>
      <c r="AX2354">
        <v>3000</v>
      </c>
      <c r="AY2354">
        <v>3000</v>
      </c>
      <c r="AZ2354">
        <v>4989.1292359710487</v>
      </c>
      <c r="BA2354">
        <v>7500</v>
      </c>
      <c r="BB2354">
        <v>333.33333333333297</v>
      </c>
      <c r="BC2354">
        <v>23333.333333333299</v>
      </c>
      <c r="BD2354">
        <v>1317</v>
      </c>
    </row>
    <row r="2355" spans="1:56" x14ac:dyDescent="0.25">
      <c r="A2355" t="s">
        <v>199</v>
      </c>
      <c r="B2355" t="s">
        <v>203</v>
      </c>
      <c r="C2355" t="s">
        <v>350</v>
      </c>
      <c r="D2355">
        <v>8313.0633262018691</v>
      </c>
      <c r="E2355">
        <v>7000</v>
      </c>
      <c r="F2355">
        <v>400</v>
      </c>
      <c r="G2355">
        <v>70000</v>
      </c>
      <c r="H2355">
        <v>4601.4719611401752</v>
      </c>
      <c r="I2355">
        <v>3250</v>
      </c>
      <c r="J2355">
        <v>166.666666666667</v>
      </c>
      <c r="K2355">
        <v>12500</v>
      </c>
      <c r="L2355">
        <v>27580.728657041102</v>
      </c>
      <c r="M2355">
        <v>10000</v>
      </c>
      <c r="N2355">
        <v>833.33333333333303</v>
      </c>
      <c r="O2355">
        <v>150000</v>
      </c>
      <c r="P2355">
        <v>1403.1962266495259</v>
      </c>
      <c r="Q2355">
        <v>1666.6666666666699</v>
      </c>
      <c r="R2355">
        <v>285.71428571428601</v>
      </c>
      <c r="S2355">
        <v>3333.3333333333298</v>
      </c>
      <c r="T2355">
        <v>1656.7444872423821</v>
      </c>
      <c r="U2355">
        <v>2000</v>
      </c>
      <c r="V2355">
        <v>400</v>
      </c>
      <c r="W2355">
        <v>8000</v>
      </c>
      <c r="X2355">
        <v>3983.413314710338</v>
      </c>
      <c r="Y2355">
        <v>3000</v>
      </c>
      <c r="Z2355">
        <v>416.66666666666703</v>
      </c>
      <c r="AA2355">
        <v>20000</v>
      </c>
      <c r="AB2355">
        <v>1117.8573381076501</v>
      </c>
      <c r="AC2355">
        <v>833.33333333333303</v>
      </c>
      <c r="AD2355">
        <v>176</v>
      </c>
      <c r="AE2355">
        <v>9000</v>
      </c>
      <c r="AF2355">
        <v>1325</v>
      </c>
      <c r="AG2355">
        <v>800</v>
      </c>
      <c r="AH2355">
        <v>750</v>
      </c>
      <c r="AI2355">
        <v>2500</v>
      </c>
      <c r="AJ2355">
        <v>2323.4696402954241</v>
      </c>
      <c r="AK2355">
        <v>2666.6666666666702</v>
      </c>
      <c r="AL2355">
        <v>500</v>
      </c>
      <c r="AM2355">
        <v>6666.6666666666697</v>
      </c>
      <c r="AN2355">
        <v>1494.9297662553749</v>
      </c>
      <c r="AO2355">
        <v>1500</v>
      </c>
      <c r="AP2355">
        <v>166.666666666667</v>
      </c>
      <c r="AQ2355">
        <v>3750</v>
      </c>
      <c r="AR2355">
        <v>8005.6932946773404</v>
      </c>
      <c r="AS2355">
        <v>5000</v>
      </c>
      <c r="AT2355">
        <v>400</v>
      </c>
      <c r="AU2355">
        <v>25000</v>
      </c>
      <c r="AZ2355">
        <v>681.16749194375006</v>
      </c>
      <c r="BA2355">
        <v>750</v>
      </c>
      <c r="BB2355">
        <v>240</v>
      </c>
      <c r="BC2355">
        <v>1000</v>
      </c>
      <c r="BD2355">
        <v>1317</v>
      </c>
    </row>
    <row r="2356" spans="1:56" x14ac:dyDescent="0.25">
      <c r="A2356" t="s">
        <v>200</v>
      </c>
      <c r="B2356" t="s">
        <v>203</v>
      </c>
      <c r="C2356" t="s">
        <v>348</v>
      </c>
      <c r="D2356">
        <v>14909.787643135851</v>
      </c>
      <c r="E2356">
        <v>10500</v>
      </c>
      <c r="F2356">
        <v>1200</v>
      </c>
      <c r="G2356">
        <v>250000</v>
      </c>
      <c r="H2356">
        <v>11434.50215519318</v>
      </c>
      <c r="I2356">
        <v>7500</v>
      </c>
      <c r="J2356">
        <v>1000</v>
      </c>
      <c r="K2356">
        <v>35000</v>
      </c>
      <c r="L2356">
        <v>15736.791692251851</v>
      </c>
      <c r="M2356">
        <v>12500</v>
      </c>
      <c r="N2356">
        <v>500</v>
      </c>
      <c r="O2356">
        <v>40000</v>
      </c>
      <c r="P2356">
        <v>4188.2400789169124</v>
      </c>
      <c r="Q2356">
        <v>5000</v>
      </c>
      <c r="R2356">
        <v>3000</v>
      </c>
      <c r="S2356">
        <v>5000</v>
      </c>
      <c r="T2356">
        <v>1419.7235348164361</v>
      </c>
      <c r="U2356">
        <v>2000</v>
      </c>
      <c r="V2356">
        <v>600</v>
      </c>
      <c r="W2356">
        <v>2000</v>
      </c>
      <c r="X2356">
        <v>2805.9754383748018</v>
      </c>
      <c r="Y2356">
        <v>2600</v>
      </c>
      <c r="Z2356">
        <v>312.5</v>
      </c>
      <c r="AA2356">
        <v>8000</v>
      </c>
      <c r="AB2356">
        <v>847.33387783486216</v>
      </c>
      <c r="AC2356">
        <v>286.66666666666703</v>
      </c>
      <c r="AD2356">
        <v>122.857142857143</v>
      </c>
      <c r="AE2356">
        <v>11000</v>
      </c>
      <c r="AF2356">
        <v>3754.62373039873</v>
      </c>
      <c r="AG2356">
        <v>3666.6666666666702</v>
      </c>
      <c r="AH2356">
        <v>3333.3333333333298</v>
      </c>
      <c r="AI2356">
        <v>10000</v>
      </c>
      <c r="AJ2356">
        <v>5118.4693724004128</v>
      </c>
      <c r="AK2356">
        <v>6000</v>
      </c>
      <c r="AL2356">
        <v>2000</v>
      </c>
      <c r="AM2356">
        <v>6000</v>
      </c>
      <c r="AR2356">
        <v>3280.2108011820342</v>
      </c>
      <c r="AS2356">
        <v>2000</v>
      </c>
      <c r="AT2356">
        <v>1666.6666666666699</v>
      </c>
      <c r="AU2356">
        <v>7500</v>
      </c>
      <c r="AZ2356">
        <v>1500</v>
      </c>
      <c r="BA2356">
        <v>1500</v>
      </c>
      <c r="BB2356">
        <v>1500</v>
      </c>
      <c r="BC2356">
        <v>1500</v>
      </c>
      <c r="BD2356">
        <v>1317</v>
      </c>
    </row>
    <row r="2357" spans="1:56" x14ac:dyDescent="0.25">
      <c r="A2357" t="s">
        <v>200</v>
      </c>
      <c r="B2357" t="s">
        <v>203</v>
      </c>
      <c r="C2357" t="s">
        <v>349</v>
      </c>
      <c r="D2357">
        <v>11437.548717207659</v>
      </c>
      <c r="E2357">
        <v>10000</v>
      </c>
      <c r="F2357">
        <v>1166.6666666666699</v>
      </c>
      <c r="G2357">
        <v>33333.333333333299</v>
      </c>
      <c r="H2357">
        <v>3841.1247401624391</v>
      </c>
      <c r="I2357">
        <v>1666.6666666666699</v>
      </c>
      <c r="J2357">
        <v>250</v>
      </c>
      <c r="K2357">
        <v>13000</v>
      </c>
      <c r="L2357">
        <v>3943.838469662785</v>
      </c>
      <c r="M2357">
        <v>5000</v>
      </c>
      <c r="N2357">
        <v>833.33333333333303</v>
      </c>
      <c r="O2357">
        <v>6250</v>
      </c>
      <c r="P2357">
        <v>1643.512383516711</v>
      </c>
      <c r="Q2357">
        <v>1750</v>
      </c>
      <c r="R2357">
        <v>500</v>
      </c>
      <c r="S2357">
        <v>1750</v>
      </c>
      <c r="T2357">
        <v>869.80184924209254</v>
      </c>
      <c r="U2357">
        <v>1333.3333333333301</v>
      </c>
      <c r="V2357">
        <v>333.33333333333297</v>
      </c>
      <c r="W2357">
        <v>1333.3333333333301</v>
      </c>
      <c r="X2357">
        <v>3580.498377479686</v>
      </c>
      <c r="Y2357">
        <v>2980</v>
      </c>
      <c r="Z2357">
        <v>800</v>
      </c>
      <c r="AA2357">
        <v>15000</v>
      </c>
      <c r="AB2357">
        <v>865.35959453334681</v>
      </c>
      <c r="AC2357">
        <v>575</v>
      </c>
      <c r="AD2357">
        <v>172</v>
      </c>
      <c r="AE2357">
        <v>4000</v>
      </c>
      <c r="AF2357">
        <v>1181.102327235018</v>
      </c>
      <c r="AG2357">
        <v>1250</v>
      </c>
      <c r="AH2357">
        <v>96.6666666666667</v>
      </c>
      <c r="AI2357">
        <v>1250</v>
      </c>
      <c r="AJ2357">
        <v>1500</v>
      </c>
      <c r="AK2357">
        <v>2000</v>
      </c>
      <c r="AL2357">
        <v>1000</v>
      </c>
      <c r="AM2357">
        <v>2000</v>
      </c>
      <c r="AN2357">
        <v>3500</v>
      </c>
      <c r="AO2357">
        <v>3500</v>
      </c>
      <c r="AP2357">
        <v>3500</v>
      </c>
      <c r="AQ2357">
        <v>3500</v>
      </c>
      <c r="AR2357">
        <v>1127.539366685568</v>
      </c>
      <c r="AS2357">
        <v>1000</v>
      </c>
      <c r="AT2357">
        <v>500</v>
      </c>
      <c r="AU2357">
        <v>10000</v>
      </c>
      <c r="AZ2357">
        <v>2000</v>
      </c>
      <c r="BA2357">
        <v>2000</v>
      </c>
      <c r="BB2357">
        <v>2000</v>
      </c>
      <c r="BC2357">
        <v>2000</v>
      </c>
      <c r="BD2357">
        <v>1317</v>
      </c>
    </row>
    <row r="2358" spans="1:56" x14ac:dyDescent="0.25">
      <c r="A2358" t="s">
        <v>200</v>
      </c>
      <c r="B2358" t="s">
        <v>203</v>
      </c>
      <c r="C2358" t="s">
        <v>350</v>
      </c>
      <c r="D2358">
        <v>7613.9709160428229</v>
      </c>
      <c r="E2358">
        <v>6250</v>
      </c>
      <c r="F2358">
        <v>666.66666666666697</v>
      </c>
      <c r="G2358">
        <v>25000</v>
      </c>
      <c r="H2358">
        <v>6252.5084339752029</v>
      </c>
      <c r="I2358">
        <v>9000</v>
      </c>
      <c r="J2358">
        <v>750</v>
      </c>
      <c r="K2358">
        <v>17000</v>
      </c>
      <c r="L2358">
        <v>12533.97749946144</v>
      </c>
      <c r="M2358">
        <v>11250</v>
      </c>
      <c r="N2358">
        <v>7500</v>
      </c>
      <c r="O2358">
        <v>25000</v>
      </c>
      <c r="T2358">
        <v>1210.213014471298</v>
      </c>
      <c r="U2358">
        <v>2250</v>
      </c>
      <c r="V2358">
        <v>750</v>
      </c>
      <c r="W2358">
        <v>2250</v>
      </c>
      <c r="X2358">
        <v>2473.5659194523842</v>
      </c>
      <c r="Y2358">
        <v>2000</v>
      </c>
      <c r="Z2358">
        <v>500</v>
      </c>
      <c r="AA2358">
        <v>5000</v>
      </c>
      <c r="AB2358">
        <v>1417.041252570396</v>
      </c>
      <c r="AC2358">
        <v>1600</v>
      </c>
      <c r="AD2358">
        <v>215</v>
      </c>
      <c r="AE2358">
        <v>3400</v>
      </c>
      <c r="AF2358">
        <v>125</v>
      </c>
      <c r="AG2358">
        <v>125</v>
      </c>
      <c r="AH2358">
        <v>125</v>
      </c>
      <c r="AI2358">
        <v>125</v>
      </c>
      <c r="AJ2358">
        <v>1945.289031518126</v>
      </c>
      <c r="AK2358">
        <v>5000</v>
      </c>
      <c r="AL2358">
        <v>500</v>
      </c>
      <c r="AM2358">
        <v>5000</v>
      </c>
      <c r="AN2358">
        <v>750</v>
      </c>
      <c r="AO2358">
        <v>750</v>
      </c>
      <c r="AP2358">
        <v>750</v>
      </c>
      <c r="AQ2358">
        <v>750</v>
      </c>
      <c r="AR2358">
        <v>3250</v>
      </c>
      <c r="AS2358">
        <v>1500</v>
      </c>
      <c r="AT2358">
        <v>1500</v>
      </c>
      <c r="AU2358">
        <v>5000</v>
      </c>
      <c r="AZ2358">
        <v>7256.447527928929</v>
      </c>
      <c r="BA2358">
        <v>14000</v>
      </c>
      <c r="BB2358">
        <v>250</v>
      </c>
      <c r="BC2358">
        <v>14000</v>
      </c>
      <c r="BD2358">
        <v>1317</v>
      </c>
    </row>
    <row r="2359" spans="1:56" x14ac:dyDescent="0.25">
      <c r="A2359" t="s">
        <v>201</v>
      </c>
      <c r="B2359" t="s">
        <v>203</v>
      </c>
      <c r="C2359" t="s">
        <v>348</v>
      </c>
      <c r="D2359">
        <v>7651.7633251831103</v>
      </c>
      <c r="E2359">
        <v>6000</v>
      </c>
      <c r="F2359">
        <v>1500</v>
      </c>
      <c r="G2359">
        <v>32500</v>
      </c>
      <c r="H2359">
        <v>4000.5123055003519</v>
      </c>
      <c r="I2359">
        <v>5000</v>
      </c>
      <c r="J2359">
        <v>833.33333333333303</v>
      </c>
      <c r="K2359">
        <v>5400</v>
      </c>
      <c r="T2359">
        <v>1484.643508014851</v>
      </c>
      <c r="U2359">
        <v>1500</v>
      </c>
      <c r="V2359">
        <v>1000</v>
      </c>
      <c r="W2359">
        <v>2500</v>
      </c>
      <c r="X2359">
        <v>2980.7839053011589</v>
      </c>
      <c r="Y2359">
        <v>3750</v>
      </c>
      <c r="Z2359">
        <v>460</v>
      </c>
      <c r="AA2359">
        <v>6100</v>
      </c>
      <c r="AB2359">
        <v>2046.142337617249</v>
      </c>
      <c r="AC2359">
        <v>1750</v>
      </c>
      <c r="AD2359">
        <v>143.333333333333</v>
      </c>
      <c r="AE2359">
        <v>8333.3333333333303</v>
      </c>
      <c r="AJ2359">
        <v>2636.74363988202</v>
      </c>
      <c r="AK2359">
        <v>5000</v>
      </c>
      <c r="AL2359">
        <v>833.33333333333303</v>
      </c>
      <c r="AM2359">
        <v>6666.6666666666697</v>
      </c>
      <c r="AR2359">
        <v>1833.983246811368</v>
      </c>
      <c r="AS2359">
        <v>1500</v>
      </c>
      <c r="AT2359">
        <v>1000</v>
      </c>
      <c r="AU2359">
        <v>5000</v>
      </c>
      <c r="BD2359">
        <v>1317</v>
      </c>
    </row>
    <row r="2360" spans="1:56" x14ac:dyDescent="0.25">
      <c r="A2360" t="s">
        <v>201</v>
      </c>
      <c r="B2360" t="s">
        <v>203</v>
      </c>
      <c r="C2360" t="s">
        <v>349</v>
      </c>
      <c r="D2360">
        <v>10502.61251532988</v>
      </c>
      <c r="E2360">
        <v>9333.3333333333303</v>
      </c>
      <c r="F2360">
        <v>425</v>
      </c>
      <c r="G2360">
        <v>25000</v>
      </c>
      <c r="H2360">
        <v>2811.4783600973601</v>
      </c>
      <c r="I2360">
        <v>2333.3333333333298</v>
      </c>
      <c r="J2360">
        <v>640</v>
      </c>
      <c r="K2360">
        <v>10000</v>
      </c>
      <c r="L2360">
        <v>9623.2527155832395</v>
      </c>
      <c r="M2360">
        <v>10000</v>
      </c>
      <c r="N2360">
        <v>540</v>
      </c>
      <c r="O2360">
        <v>30000</v>
      </c>
      <c r="P2360">
        <v>1902.952087846252</v>
      </c>
      <c r="Q2360">
        <v>2000</v>
      </c>
      <c r="R2360">
        <v>300</v>
      </c>
      <c r="S2360">
        <v>10000</v>
      </c>
      <c r="T2360">
        <v>1949.29789576641</v>
      </c>
      <c r="U2360">
        <v>2000</v>
      </c>
      <c r="V2360">
        <v>500</v>
      </c>
      <c r="W2360">
        <v>3000</v>
      </c>
      <c r="X2360">
        <v>2762.5899745037232</v>
      </c>
      <c r="Y2360">
        <v>2800</v>
      </c>
      <c r="Z2360">
        <v>385.71428571428601</v>
      </c>
      <c r="AA2360">
        <v>7000</v>
      </c>
      <c r="AB2360">
        <v>1181.788694900124</v>
      </c>
      <c r="AC2360">
        <v>1450</v>
      </c>
      <c r="AD2360">
        <v>172</v>
      </c>
      <c r="AE2360">
        <v>4000</v>
      </c>
      <c r="AF2360">
        <v>2178.3936360354969</v>
      </c>
      <c r="AG2360">
        <v>1250</v>
      </c>
      <c r="AH2360">
        <v>833.33333333333303</v>
      </c>
      <c r="AI2360">
        <v>11000</v>
      </c>
      <c r="AJ2360">
        <v>4907.4785205947819</v>
      </c>
      <c r="AK2360">
        <v>12000</v>
      </c>
      <c r="AL2360">
        <v>666.66666666666697</v>
      </c>
      <c r="AM2360">
        <v>30000</v>
      </c>
      <c r="AN2360">
        <v>2144.4946081888252</v>
      </c>
      <c r="AO2360">
        <v>1000</v>
      </c>
      <c r="AP2360">
        <v>100</v>
      </c>
      <c r="AQ2360">
        <v>20000</v>
      </c>
      <c r="AR2360">
        <v>1699.557187983183</v>
      </c>
      <c r="AS2360">
        <v>2000</v>
      </c>
      <c r="AT2360">
        <v>500</v>
      </c>
      <c r="AU2360">
        <v>100000</v>
      </c>
      <c r="AV2360">
        <v>5794.0267465262114</v>
      </c>
      <c r="AW2360">
        <v>8333.3333333333303</v>
      </c>
      <c r="AX2360">
        <v>2500</v>
      </c>
      <c r="AY2360">
        <v>8333.3333333333303</v>
      </c>
      <c r="AZ2360">
        <v>17500</v>
      </c>
      <c r="BA2360">
        <v>17500</v>
      </c>
      <c r="BB2360">
        <v>17500</v>
      </c>
      <c r="BC2360">
        <v>17500</v>
      </c>
      <c r="BD2360">
        <v>1317</v>
      </c>
    </row>
    <row r="2361" spans="1:56" x14ac:dyDescent="0.25">
      <c r="A2361" t="s">
        <v>201</v>
      </c>
      <c r="B2361" t="s">
        <v>203</v>
      </c>
      <c r="C2361" t="s">
        <v>350</v>
      </c>
      <c r="D2361">
        <v>6446.9017344036947</v>
      </c>
      <c r="E2361">
        <v>4000</v>
      </c>
      <c r="F2361">
        <v>666.66666666666697</v>
      </c>
      <c r="G2361">
        <v>60000</v>
      </c>
      <c r="H2361">
        <v>2551.0085973231921</v>
      </c>
      <c r="I2361">
        <v>2000</v>
      </c>
      <c r="J2361">
        <v>333.33333333333297</v>
      </c>
      <c r="K2361">
        <v>5000</v>
      </c>
      <c r="L2361">
        <v>12885.671629841379</v>
      </c>
      <c r="M2361">
        <v>28333.333333333299</v>
      </c>
      <c r="N2361">
        <v>1500</v>
      </c>
      <c r="O2361">
        <v>28333.333333333299</v>
      </c>
      <c r="P2361">
        <v>2944.4638375852151</v>
      </c>
      <c r="Q2361">
        <v>3333.3333333333298</v>
      </c>
      <c r="R2361">
        <v>500</v>
      </c>
      <c r="S2361">
        <v>15000</v>
      </c>
      <c r="T2361">
        <v>1006.812017689783</v>
      </c>
      <c r="U2361">
        <v>1000</v>
      </c>
      <c r="V2361">
        <v>400</v>
      </c>
      <c r="W2361">
        <v>2000</v>
      </c>
      <c r="X2361">
        <v>1703.5347153792841</v>
      </c>
      <c r="Y2361">
        <v>1800</v>
      </c>
      <c r="Z2361">
        <v>587.5</v>
      </c>
      <c r="AA2361">
        <v>3500</v>
      </c>
      <c r="AB2361">
        <v>861.53201813280066</v>
      </c>
      <c r="AC2361">
        <v>685.71428571428601</v>
      </c>
      <c r="AD2361">
        <v>215</v>
      </c>
      <c r="AE2361">
        <v>2850</v>
      </c>
      <c r="AF2361">
        <v>4455.4434610034004</v>
      </c>
      <c r="AG2361">
        <v>3500</v>
      </c>
      <c r="AH2361">
        <v>3500</v>
      </c>
      <c r="AI2361">
        <v>6000</v>
      </c>
      <c r="AJ2361">
        <v>4024.9751637194759</v>
      </c>
      <c r="AK2361">
        <v>6000</v>
      </c>
      <c r="AL2361">
        <v>1333.3333333333301</v>
      </c>
      <c r="AM2361">
        <v>6000</v>
      </c>
      <c r="AN2361">
        <v>2921.8386211958641</v>
      </c>
      <c r="AO2361">
        <v>500</v>
      </c>
      <c r="AP2361">
        <v>87.5</v>
      </c>
      <c r="AQ2361">
        <v>10000</v>
      </c>
      <c r="AR2361">
        <v>4725.0321499013789</v>
      </c>
      <c r="AS2361">
        <v>6666.6666666666697</v>
      </c>
      <c r="AT2361">
        <v>1000</v>
      </c>
      <c r="AU2361">
        <v>7500</v>
      </c>
      <c r="AZ2361">
        <v>1345.8333333333351</v>
      </c>
      <c r="BA2361">
        <v>1125</v>
      </c>
      <c r="BB2361">
        <v>1125</v>
      </c>
      <c r="BC2361">
        <v>1566.6666666666699</v>
      </c>
      <c r="BD2361">
        <v>1317</v>
      </c>
    </row>
    <row r="2362" spans="1:56" x14ac:dyDescent="0.25">
      <c r="A2362" t="s">
        <v>202</v>
      </c>
      <c r="B2362" t="s">
        <v>203</v>
      </c>
      <c r="C2362" t="s">
        <v>348</v>
      </c>
      <c r="D2362">
        <v>11452.57538205458</v>
      </c>
      <c r="E2362">
        <v>10000</v>
      </c>
      <c r="F2362">
        <v>1600</v>
      </c>
      <c r="G2362">
        <v>35000</v>
      </c>
      <c r="H2362">
        <v>5576.3969327954974</v>
      </c>
      <c r="I2362">
        <v>5500</v>
      </c>
      <c r="J2362">
        <v>1450</v>
      </c>
      <c r="K2362">
        <v>20000</v>
      </c>
      <c r="L2362">
        <v>11185.54934146599</v>
      </c>
      <c r="M2362">
        <v>7000</v>
      </c>
      <c r="N2362">
        <v>7000</v>
      </c>
      <c r="O2362">
        <v>20000</v>
      </c>
      <c r="X2362">
        <v>3646.1348795047338</v>
      </c>
      <c r="Y2362">
        <v>3900</v>
      </c>
      <c r="Z2362">
        <v>600</v>
      </c>
      <c r="AA2362">
        <v>12000</v>
      </c>
      <c r="AB2362">
        <v>1212.3087035807589</v>
      </c>
      <c r="AC2362">
        <v>1033.3333333333301</v>
      </c>
      <c r="AD2362">
        <v>206.4</v>
      </c>
      <c r="AE2362">
        <v>4000</v>
      </c>
      <c r="AF2362">
        <v>2563.1707285657039</v>
      </c>
      <c r="AG2362">
        <v>2666.6666666666702</v>
      </c>
      <c r="AH2362">
        <v>275</v>
      </c>
      <c r="AI2362">
        <v>5000</v>
      </c>
      <c r="AJ2362">
        <v>4840.9364512859511</v>
      </c>
      <c r="AK2362">
        <v>6000</v>
      </c>
      <c r="AL2362">
        <v>2000</v>
      </c>
      <c r="AM2362">
        <v>7500</v>
      </c>
      <c r="AR2362">
        <v>2737.8176918151762</v>
      </c>
      <c r="AS2362">
        <v>3333.3333333333298</v>
      </c>
      <c r="AT2362">
        <v>400</v>
      </c>
      <c r="AU2362">
        <v>5000</v>
      </c>
      <c r="BD2362">
        <v>1317</v>
      </c>
    </row>
    <row r="2363" spans="1:56" x14ac:dyDescent="0.25">
      <c r="A2363" t="s">
        <v>204</v>
      </c>
      <c r="B2363" t="s">
        <v>204</v>
      </c>
      <c r="C2363" t="s">
        <v>204</v>
      </c>
      <c r="D2363">
        <v>10985.622614450671</v>
      </c>
      <c r="E2363">
        <v>8000</v>
      </c>
      <c r="F2363">
        <v>375</v>
      </c>
      <c r="G2363">
        <v>250000</v>
      </c>
      <c r="H2363">
        <v>6125.8807335167676</v>
      </c>
      <c r="I2363">
        <v>5000</v>
      </c>
      <c r="J2363">
        <v>28.571428571428601</v>
      </c>
      <c r="K2363">
        <v>37000</v>
      </c>
      <c r="L2363">
        <v>16103.819224385879</v>
      </c>
      <c r="M2363">
        <v>11666.666666666701</v>
      </c>
      <c r="N2363">
        <v>500</v>
      </c>
      <c r="O2363">
        <v>150000</v>
      </c>
      <c r="P2363">
        <v>1930.9837390009279</v>
      </c>
      <c r="Q2363">
        <v>1500</v>
      </c>
      <c r="R2363">
        <v>166.666666666667</v>
      </c>
      <c r="S2363">
        <v>15000</v>
      </c>
      <c r="T2363">
        <v>1883.8547115085821</v>
      </c>
      <c r="U2363">
        <v>2000</v>
      </c>
      <c r="V2363">
        <v>333.33333333333297</v>
      </c>
      <c r="W2363">
        <v>8000</v>
      </c>
      <c r="X2363">
        <v>3246.1683873287529</v>
      </c>
      <c r="Y2363">
        <v>2800</v>
      </c>
      <c r="Z2363">
        <v>287.5</v>
      </c>
      <c r="AA2363">
        <v>20000</v>
      </c>
      <c r="AB2363">
        <v>1536.49823865536</v>
      </c>
      <c r="AC2363">
        <v>750</v>
      </c>
      <c r="AD2363">
        <v>86</v>
      </c>
      <c r="AE2363">
        <v>113333.33333333299</v>
      </c>
      <c r="AF2363">
        <v>2320.518805176484</v>
      </c>
      <c r="AG2363">
        <v>2500</v>
      </c>
      <c r="AH2363">
        <v>93.75</v>
      </c>
      <c r="AI2363">
        <v>11000</v>
      </c>
      <c r="AJ2363">
        <v>3564.2455646408712</v>
      </c>
      <c r="AK2363">
        <v>2500</v>
      </c>
      <c r="AL2363">
        <v>333.33333333333297</v>
      </c>
      <c r="AM2363">
        <v>30000</v>
      </c>
      <c r="AN2363">
        <v>2855.1426053542832</v>
      </c>
      <c r="AO2363">
        <v>1000</v>
      </c>
      <c r="AP2363">
        <v>83.3333333333333</v>
      </c>
      <c r="AQ2363">
        <v>21000</v>
      </c>
      <c r="AR2363">
        <v>5475.9880436642661</v>
      </c>
      <c r="AS2363">
        <v>2500</v>
      </c>
      <c r="AT2363">
        <v>200</v>
      </c>
      <c r="AU2363">
        <v>100000</v>
      </c>
      <c r="AV2363">
        <v>2397.7487721124221</v>
      </c>
      <c r="AW2363">
        <v>3000</v>
      </c>
      <c r="AX2363">
        <v>285.71428571428601</v>
      </c>
      <c r="AY2363">
        <v>8333.3333333333303</v>
      </c>
      <c r="AZ2363">
        <v>5856.8204865562921</v>
      </c>
      <c r="BA2363">
        <v>2500</v>
      </c>
      <c r="BB2363">
        <v>240</v>
      </c>
      <c r="BC2363">
        <v>23333.333333333299</v>
      </c>
      <c r="BD2363">
        <v>1317</v>
      </c>
    </row>
    <row r="2365" spans="1:56" x14ac:dyDescent="0.25">
      <c r="A2365" t="s">
        <v>720</v>
      </c>
    </row>
    <row r="2366" spans="1:56" x14ac:dyDescent="0.25">
      <c r="A2366" t="s">
        <v>189</v>
      </c>
      <c r="B2366" t="s">
        <v>190</v>
      </c>
      <c r="C2366" t="s">
        <v>191</v>
      </c>
      <c r="D2366" t="s">
        <v>192</v>
      </c>
      <c r="E2366" t="s">
        <v>193</v>
      </c>
      <c r="F2366" t="s">
        <v>194</v>
      </c>
      <c r="G2366" t="s">
        <v>195</v>
      </c>
      <c r="H2366" t="s">
        <v>196</v>
      </c>
    </row>
    <row r="2367" spans="1:56" x14ac:dyDescent="0.25">
      <c r="A2367" t="s">
        <v>197</v>
      </c>
      <c r="B2367" t="s">
        <v>198</v>
      </c>
      <c r="C2367">
        <v>16144.99555550088</v>
      </c>
      <c r="D2367">
        <v>13000</v>
      </c>
      <c r="E2367">
        <v>1500</v>
      </c>
      <c r="F2367">
        <v>77500</v>
      </c>
      <c r="G2367">
        <v>76</v>
      </c>
      <c r="H2367">
        <v>2330</v>
      </c>
    </row>
    <row r="2368" spans="1:56" x14ac:dyDescent="0.25">
      <c r="A2368" t="s">
        <v>199</v>
      </c>
      <c r="B2368" t="s">
        <v>198</v>
      </c>
      <c r="C2368">
        <v>20214.07273846064</v>
      </c>
      <c r="D2368">
        <v>15000</v>
      </c>
      <c r="E2368">
        <v>850</v>
      </c>
      <c r="F2368">
        <v>340000</v>
      </c>
      <c r="G2368">
        <v>338</v>
      </c>
      <c r="H2368">
        <v>2330</v>
      </c>
    </row>
    <row r="2369" spans="1:10" x14ac:dyDescent="0.25">
      <c r="A2369" t="s">
        <v>200</v>
      </c>
      <c r="B2369" t="s">
        <v>198</v>
      </c>
      <c r="C2369">
        <v>26249.650214869889</v>
      </c>
      <c r="D2369">
        <v>20000</v>
      </c>
      <c r="E2369">
        <v>1500</v>
      </c>
      <c r="F2369">
        <v>100000</v>
      </c>
      <c r="G2369">
        <v>355</v>
      </c>
      <c r="H2369">
        <v>2330</v>
      </c>
    </row>
    <row r="2370" spans="1:10" x14ac:dyDescent="0.25">
      <c r="A2370" t="s">
        <v>201</v>
      </c>
      <c r="B2370" t="s">
        <v>198</v>
      </c>
      <c r="C2370">
        <v>19743.588311447082</v>
      </c>
      <c r="D2370">
        <v>17000</v>
      </c>
      <c r="E2370">
        <v>500</v>
      </c>
      <c r="F2370">
        <v>68100</v>
      </c>
      <c r="G2370">
        <v>226</v>
      </c>
      <c r="H2370">
        <v>2330</v>
      </c>
    </row>
    <row r="2371" spans="1:10" x14ac:dyDescent="0.25">
      <c r="A2371" t="s">
        <v>202</v>
      </c>
      <c r="B2371" t="s">
        <v>198</v>
      </c>
      <c r="C2371">
        <v>20937.54613023793</v>
      </c>
      <c r="D2371">
        <v>16000</v>
      </c>
      <c r="E2371">
        <v>860</v>
      </c>
      <c r="F2371">
        <v>150000</v>
      </c>
      <c r="G2371">
        <v>89</v>
      </c>
      <c r="H2371">
        <v>2330</v>
      </c>
    </row>
    <row r="2372" spans="1:10" x14ac:dyDescent="0.25">
      <c r="A2372" t="s">
        <v>199</v>
      </c>
      <c r="B2372" t="s">
        <v>203</v>
      </c>
      <c r="C2372">
        <v>25405.034530680321</v>
      </c>
      <c r="D2372">
        <v>22500</v>
      </c>
      <c r="E2372">
        <v>500</v>
      </c>
      <c r="F2372">
        <v>330000</v>
      </c>
      <c r="G2372">
        <v>450</v>
      </c>
      <c r="H2372">
        <v>2330</v>
      </c>
    </row>
    <row r="2373" spans="1:10" x14ac:dyDescent="0.25">
      <c r="A2373" t="s">
        <v>200</v>
      </c>
      <c r="B2373" t="s">
        <v>203</v>
      </c>
      <c r="C2373">
        <v>33783.048530495384</v>
      </c>
      <c r="D2373">
        <v>28000</v>
      </c>
      <c r="E2373">
        <v>860</v>
      </c>
      <c r="F2373">
        <v>250000</v>
      </c>
      <c r="G2373">
        <v>434</v>
      </c>
      <c r="H2373">
        <v>2330</v>
      </c>
    </row>
    <row r="2374" spans="1:10" x14ac:dyDescent="0.25">
      <c r="A2374" t="s">
        <v>201</v>
      </c>
      <c r="B2374" t="s">
        <v>203</v>
      </c>
      <c r="C2374">
        <v>25709.432531750601</v>
      </c>
      <c r="D2374">
        <v>20000</v>
      </c>
      <c r="E2374">
        <v>860</v>
      </c>
      <c r="F2374">
        <v>120000</v>
      </c>
      <c r="G2374">
        <v>279</v>
      </c>
      <c r="H2374">
        <v>2330</v>
      </c>
    </row>
    <row r="2375" spans="1:10" x14ac:dyDescent="0.25">
      <c r="A2375" t="s">
        <v>202</v>
      </c>
      <c r="B2375" t="s">
        <v>203</v>
      </c>
      <c r="C2375">
        <v>33340.773778641807</v>
      </c>
      <c r="D2375">
        <v>28000</v>
      </c>
      <c r="E2375">
        <v>860</v>
      </c>
      <c r="F2375">
        <v>140000</v>
      </c>
      <c r="G2375">
        <v>83</v>
      </c>
      <c r="H2375">
        <v>2330</v>
      </c>
    </row>
    <row r="2376" spans="1:10" x14ac:dyDescent="0.25">
      <c r="A2376" t="s">
        <v>204</v>
      </c>
      <c r="B2376" t="s">
        <v>204</v>
      </c>
      <c r="C2376">
        <v>26394.85699340967</v>
      </c>
      <c r="D2376">
        <v>20200</v>
      </c>
      <c r="E2376">
        <v>500</v>
      </c>
      <c r="F2376">
        <v>340000</v>
      </c>
      <c r="G2376">
        <v>2330</v>
      </c>
      <c r="H2376">
        <v>2330</v>
      </c>
    </row>
    <row r="2378" spans="1:10" x14ac:dyDescent="0.25">
      <c r="A2378" t="s">
        <v>721</v>
      </c>
    </row>
    <row r="2379" spans="1:10" x14ac:dyDescent="0.25">
      <c r="A2379" t="s">
        <v>189</v>
      </c>
      <c r="B2379" t="s">
        <v>190</v>
      </c>
      <c r="C2379" t="s">
        <v>206</v>
      </c>
      <c r="D2379" t="s">
        <v>529</v>
      </c>
      <c r="E2379" t="s">
        <v>191</v>
      </c>
      <c r="F2379" t="s">
        <v>192</v>
      </c>
      <c r="G2379" t="s">
        <v>193</v>
      </c>
      <c r="H2379" t="s">
        <v>194</v>
      </c>
      <c r="I2379" t="s">
        <v>195</v>
      </c>
      <c r="J2379" t="s">
        <v>196</v>
      </c>
    </row>
    <row r="2380" spans="1:10" x14ac:dyDescent="0.25">
      <c r="A2380" t="s">
        <v>197</v>
      </c>
      <c r="B2380" t="s">
        <v>198</v>
      </c>
      <c r="C2380" t="s">
        <v>228</v>
      </c>
      <c r="D2380" t="s">
        <v>530</v>
      </c>
      <c r="E2380">
        <v>15310.90768606347</v>
      </c>
      <c r="F2380">
        <v>15000</v>
      </c>
      <c r="G2380">
        <v>3000</v>
      </c>
      <c r="H2380">
        <v>50000</v>
      </c>
      <c r="I2380">
        <v>31</v>
      </c>
      <c r="J2380">
        <v>2330</v>
      </c>
    </row>
    <row r="2381" spans="1:10" x14ac:dyDescent="0.25">
      <c r="A2381" t="s">
        <v>197</v>
      </c>
      <c r="B2381" t="s">
        <v>198</v>
      </c>
      <c r="C2381" t="s">
        <v>229</v>
      </c>
      <c r="D2381" t="s">
        <v>530</v>
      </c>
      <c r="E2381">
        <v>16779.776814894631</v>
      </c>
      <c r="F2381">
        <v>13000</v>
      </c>
      <c r="G2381">
        <v>1500</v>
      </c>
      <c r="H2381">
        <v>77500</v>
      </c>
      <c r="I2381">
        <v>45</v>
      </c>
      <c r="J2381">
        <v>2330</v>
      </c>
    </row>
    <row r="2382" spans="1:10" x14ac:dyDescent="0.25">
      <c r="A2382" t="s">
        <v>199</v>
      </c>
      <c r="B2382" t="s">
        <v>198</v>
      </c>
      <c r="C2382" t="s">
        <v>228</v>
      </c>
      <c r="D2382" t="s">
        <v>530</v>
      </c>
      <c r="E2382">
        <v>18347.19200187816</v>
      </c>
      <c r="F2382">
        <v>11700</v>
      </c>
      <c r="G2382">
        <v>2000</v>
      </c>
      <c r="H2382">
        <v>340000</v>
      </c>
      <c r="I2382">
        <v>135</v>
      </c>
      <c r="J2382">
        <v>2330</v>
      </c>
    </row>
    <row r="2383" spans="1:10" x14ac:dyDescent="0.25">
      <c r="A2383" t="s">
        <v>199</v>
      </c>
      <c r="B2383" t="s">
        <v>198</v>
      </c>
      <c r="C2383" t="s">
        <v>229</v>
      </c>
      <c r="D2383" t="s">
        <v>530</v>
      </c>
      <c r="E2383">
        <v>20920.567466159599</v>
      </c>
      <c r="F2383">
        <v>18000</v>
      </c>
      <c r="G2383">
        <v>850</v>
      </c>
      <c r="H2383">
        <v>101000</v>
      </c>
      <c r="I2383">
        <v>196</v>
      </c>
      <c r="J2383">
        <v>2330</v>
      </c>
    </row>
    <row r="2384" spans="1:10" x14ac:dyDescent="0.25">
      <c r="A2384" t="s">
        <v>200</v>
      </c>
      <c r="B2384" t="s">
        <v>198</v>
      </c>
      <c r="C2384" t="s">
        <v>228</v>
      </c>
      <c r="D2384" t="s">
        <v>530</v>
      </c>
      <c r="E2384">
        <v>24690.286477196401</v>
      </c>
      <c r="F2384">
        <v>16327</v>
      </c>
      <c r="G2384">
        <v>1500</v>
      </c>
      <c r="H2384">
        <v>98860</v>
      </c>
      <c r="I2384">
        <v>103</v>
      </c>
      <c r="J2384">
        <v>2330</v>
      </c>
    </row>
    <row r="2385" spans="1:10" x14ac:dyDescent="0.25">
      <c r="A2385" t="s">
        <v>200</v>
      </c>
      <c r="B2385" t="s">
        <v>198</v>
      </c>
      <c r="C2385" t="s">
        <v>229</v>
      </c>
      <c r="D2385" t="s">
        <v>530</v>
      </c>
      <c r="E2385">
        <v>26731.753650790721</v>
      </c>
      <c r="F2385">
        <v>20000</v>
      </c>
      <c r="G2385">
        <v>1600</v>
      </c>
      <c r="H2385">
        <v>100000</v>
      </c>
      <c r="I2385">
        <v>248</v>
      </c>
      <c r="J2385">
        <v>2330</v>
      </c>
    </row>
    <row r="2386" spans="1:10" x14ac:dyDescent="0.25">
      <c r="A2386" t="s">
        <v>201</v>
      </c>
      <c r="B2386" t="s">
        <v>198</v>
      </c>
      <c r="C2386" t="s">
        <v>228</v>
      </c>
      <c r="D2386" t="s">
        <v>530</v>
      </c>
      <c r="E2386">
        <v>18441.886845815319</v>
      </c>
      <c r="F2386">
        <v>14000</v>
      </c>
      <c r="G2386">
        <v>2000</v>
      </c>
      <c r="H2386">
        <v>68100</v>
      </c>
      <c r="I2386">
        <v>88</v>
      </c>
      <c r="J2386">
        <v>2330</v>
      </c>
    </row>
    <row r="2387" spans="1:10" x14ac:dyDescent="0.25">
      <c r="A2387" t="s">
        <v>201</v>
      </c>
      <c r="B2387" t="s">
        <v>198</v>
      </c>
      <c r="C2387" t="s">
        <v>229</v>
      </c>
      <c r="D2387" t="s">
        <v>530</v>
      </c>
      <c r="E2387">
        <v>20219.843496611978</v>
      </c>
      <c r="F2387">
        <v>18000</v>
      </c>
      <c r="G2387">
        <v>500</v>
      </c>
      <c r="H2387">
        <v>66000</v>
      </c>
      <c r="I2387">
        <v>132</v>
      </c>
      <c r="J2387">
        <v>2330</v>
      </c>
    </row>
    <row r="2388" spans="1:10" s="29" customFormat="1" x14ac:dyDescent="0.25">
      <c r="A2388" s="29" t="s">
        <v>202</v>
      </c>
      <c r="B2388" s="29" t="s">
        <v>198</v>
      </c>
      <c r="C2388" s="29" t="s">
        <v>228</v>
      </c>
      <c r="D2388" s="29" t="s">
        <v>530</v>
      </c>
      <c r="E2388" s="29">
        <v>14656.11868860281</v>
      </c>
      <c r="F2388" s="29">
        <v>11000</v>
      </c>
      <c r="G2388" s="29">
        <v>3700</v>
      </c>
      <c r="H2388" s="29">
        <v>49000</v>
      </c>
      <c r="I2388" s="29">
        <v>27</v>
      </c>
      <c r="J2388" s="29">
        <v>2330</v>
      </c>
    </row>
    <row r="2389" spans="1:10" x14ac:dyDescent="0.25">
      <c r="A2389" t="s">
        <v>202</v>
      </c>
      <c r="B2389" t="s">
        <v>198</v>
      </c>
      <c r="C2389" t="s">
        <v>229</v>
      </c>
      <c r="D2389" t="s">
        <v>530</v>
      </c>
      <c r="E2389">
        <v>23168.18319379017</v>
      </c>
      <c r="F2389">
        <v>18000</v>
      </c>
      <c r="G2389">
        <v>860</v>
      </c>
      <c r="H2389">
        <v>150000</v>
      </c>
      <c r="I2389">
        <v>62</v>
      </c>
      <c r="J2389">
        <v>2330</v>
      </c>
    </row>
    <row r="2390" spans="1:10" x14ac:dyDescent="0.25">
      <c r="A2390" t="s">
        <v>199</v>
      </c>
      <c r="B2390" t="s">
        <v>203</v>
      </c>
      <c r="C2390" t="s">
        <v>228</v>
      </c>
      <c r="D2390" t="s">
        <v>530</v>
      </c>
      <c r="E2390">
        <v>19925.10430515655</v>
      </c>
      <c r="F2390">
        <v>11000</v>
      </c>
      <c r="G2390">
        <v>500</v>
      </c>
      <c r="H2390">
        <v>128000</v>
      </c>
      <c r="I2390">
        <v>128</v>
      </c>
      <c r="J2390">
        <v>2330</v>
      </c>
    </row>
    <row r="2391" spans="1:10" x14ac:dyDescent="0.25">
      <c r="A2391" t="s">
        <v>199</v>
      </c>
      <c r="B2391" t="s">
        <v>203</v>
      </c>
      <c r="C2391" t="s">
        <v>229</v>
      </c>
      <c r="D2391" t="s">
        <v>530</v>
      </c>
      <c r="E2391">
        <v>26176.894473136399</v>
      </c>
      <c r="F2391">
        <v>23500</v>
      </c>
      <c r="G2391">
        <v>860</v>
      </c>
      <c r="H2391">
        <v>330000</v>
      </c>
      <c r="I2391">
        <v>316</v>
      </c>
      <c r="J2391">
        <v>2330</v>
      </c>
    </row>
    <row r="2392" spans="1:10" x14ac:dyDescent="0.25">
      <c r="A2392" t="s">
        <v>200</v>
      </c>
      <c r="B2392" t="s">
        <v>203</v>
      </c>
      <c r="C2392" t="s">
        <v>228</v>
      </c>
      <c r="D2392" t="s">
        <v>530</v>
      </c>
      <c r="E2392">
        <v>31417.35949756718</v>
      </c>
      <c r="F2392">
        <v>27000</v>
      </c>
      <c r="G2392">
        <v>860</v>
      </c>
      <c r="H2392">
        <v>250000</v>
      </c>
      <c r="I2392">
        <v>137</v>
      </c>
      <c r="J2392">
        <v>2330</v>
      </c>
    </row>
    <row r="2393" spans="1:10" x14ac:dyDescent="0.25">
      <c r="A2393" t="s">
        <v>200</v>
      </c>
      <c r="B2393" t="s">
        <v>203</v>
      </c>
      <c r="C2393" t="s">
        <v>229</v>
      </c>
      <c r="D2393" t="s">
        <v>530</v>
      </c>
      <c r="E2393">
        <v>34366.698898698851</v>
      </c>
      <c r="F2393">
        <v>30000</v>
      </c>
      <c r="G2393">
        <v>860</v>
      </c>
      <c r="H2393">
        <v>130000</v>
      </c>
      <c r="I2393">
        <v>297</v>
      </c>
      <c r="J2393">
        <v>2330</v>
      </c>
    </row>
    <row r="2394" spans="1:10" x14ac:dyDescent="0.25">
      <c r="A2394" t="s">
        <v>201</v>
      </c>
      <c r="B2394" t="s">
        <v>203</v>
      </c>
      <c r="C2394" t="s">
        <v>228</v>
      </c>
      <c r="D2394" t="s">
        <v>530</v>
      </c>
      <c r="E2394">
        <v>25892.65279774183</v>
      </c>
      <c r="F2394">
        <v>14000</v>
      </c>
      <c r="G2394">
        <v>860</v>
      </c>
      <c r="H2394">
        <v>120000</v>
      </c>
      <c r="I2394">
        <v>166</v>
      </c>
      <c r="J2394">
        <v>2330</v>
      </c>
    </row>
    <row r="2395" spans="1:10" x14ac:dyDescent="0.25">
      <c r="A2395" t="s">
        <v>201</v>
      </c>
      <c r="B2395" t="s">
        <v>203</v>
      </c>
      <c r="C2395" t="s">
        <v>229</v>
      </c>
      <c r="D2395" t="s">
        <v>530</v>
      </c>
      <c r="E2395">
        <v>25684.525978510352</v>
      </c>
      <c r="F2395">
        <v>24000</v>
      </c>
      <c r="G2395">
        <v>860</v>
      </c>
      <c r="H2395">
        <v>85000</v>
      </c>
      <c r="I2395">
        <v>107</v>
      </c>
      <c r="J2395">
        <v>2330</v>
      </c>
    </row>
    <row r="2396" spans="1:10" x14ac:dyDescent="0.25">
      <c r="A2396" t="s">
        <v>202</v>
      </c>
      <c r="B2396" t="s">
        <v>203</v>
      </c>
      <c r="C2396" t="s">
        <v>228</v>
      </c>
      <c r="D2396" t="s">
        <v>530</v>
      </c>
      <c r="E2396">
        <v>27559.36086072151</v>
      </c>
      <c r="F2396">
        <v>27000</v>
      </c>
      <c r="G2396">
        <v>1032</v>
      </c>
      <c r="H2396">
        <v>85000</v>
      </c>
      <c r="I2396">
        <v>30</v>
      </c>
      <c r="J2396">
        <v>2330</v>
      </c>
    </row>
    <row r="2397" spans="1:10" x14ac:dyDescent="0.25">
      <c r="A2397" t="s">
        <v>202</v>
      </c>
      <c r="B2397" t="s">
        <v>203</v>
      </c>
      <c r="C2397" t="s">
        <v>229</v>
      </c>
      <c r="D2397" t="s">
        <v>530</v>
      </c>
      <c r="E2397">
        <v>35688.174219602814</v>
      </c>
      <c r="F2397">
        <v>30000</v>
      </c>
      <c r="G2397">
        <v>860</v>
      </c>
      <c r="H2397">
        <v>140000</v>
      </c>
      <c r="I2397">
        <v>53</v>
      </c>
      <c r="J2397">
        <v>2330</v>
      </c>
    </row>
    <row r="2398" spans="1:10" x14ac:dyDescent="0.25">
      <c r="A2398" t="s">
        <v>204</v>
      </c>
      <c r="B2398" t="s">
        <v>204</v>
      </c>
      <c r="C2398" t="s">
        <v>204</v>
      </c>
      <c r="D2398" t="s">
        <v>204</v>
      </c>
      <c r="E2398">
        <v>26394.85699340967</v>
      </c>
      <c r="F2398">
        <v>20200</v>
      </c>
      <c r="G2398">
        <v>500</v>
      </c>
      <c r="H2398">
        <v>340000</v>
      </c>
      <c r="I2398">
        <v>2330</v>
      </c>
      <c r="J2398">
        <v>2330</v>
      </c>
    </row>
    <row r="2400" spans="1:10" x14ac:dyDescent="0.25">
      <c r="A2400" t="s">
        <v>722</v>
      </c>
    </row>
    <row r="2401" spans="1:10" x14ac:dyDescent="0.25">
      <c r="A2401" t="s">
        <v>189</v>
      </c>
      <c r="B2401" t="s">
        <v>190</v>
      </c>
      <c r="C2401" t="s">
        <v>206</v>
      </c>
      <c r="D2401" t="s">
        <v>529</v>
      </c>
      <c r="E2401" t="s">
        <v>191</v>
      </c>
      <c r="F2401" t="s">
        <v>192</v>
      </c>
      <c r="G2401" t="s">
        <v>193</v>
      </c>
      <c r="H2401" t="s">
        <v>194</v>
      </c>
      <c r="I2401" t="s">
        <v>195</v>
      </c>
      <c r="J2401" t="s">
        <v>196</v>
      </c>
    </row>
    <row r="2402" spans="1:10" x14ac:dyDescent="0.25">
      <c r="A2402" t="s">
        <v>197</v>
      </c>
      <c r="B2402" t="s">
        <v>198</v>
      </c>
      <c r="C2402" t="s">
        <v>348</v>
      </c>
      <c r="D2402" t="s">
        <v>532</v>
      </c>
      <c r="E2402">
        <v>16258.7307954772</v>
      </c>
      <c r="F2402">
        <v>13000</v>
      </c>
      <c r="G2402">
        <v>1500</v>
      </c>
      <c r="H2402">
        <v>77500</v>
      </c>
      <c r="I2402">
        <v>73</v>
      </c>
      <c r="J2402">
        <v>2330</v>
      </c>
    </row>
    <row r="2403" spans="1:10" s="29" customFormat="1" x14ac:dyDescent="0.25">
      <c r="A2403" s="29" t="s">
        <v>197</v>
      </c>
      <c r="B2403" s="29" t="s">
        <v>198</v>
      </c>
      <c r="C2403" s="29" t="s">
        <v>349</v>
      </c>
      <c r="D2403" s="29" t="s">
        <v>532</v>
      </c>
      <c r="E2403" s="29">
        <v>13100</v>
      </c>
      <c r="F2403" s="29">
        <v>25300</v>
      </c>
      <c r="G2403" s="29">
        <v>6000</v>
      </c>
      <c r="H2403" s="29">
        <v>25300</v>
      </c>
      <c r="I2403" s="29">
        <v>3</v>
      </c>
      <c r="J2403" s="29">
        <v>2330</v>
      </c>
    </row>
    <row r="2404" spans="1:10" x14ac:dyDescent="0.25">
      <c r="A2404" t="s">
        <v>199</v>
      </c>
      <c r="B2404" t="s">
        <v>198</v>
      </c>
      <c r="C2404" t="s">
        <v>348</v>
      </c>
      <c r="D2404" t="s">
        <v>532</v>
      </c>
      <c r="E2404">
        <v>18475.910437554099</v>
      </c>
      <c r="F2404">
        <v>14980</v>
      </c>
      <c r="G2404">
        <v>2500</v>
      </c>
      <c r="H2404">
        <v>56000</v>
      </c>
      <c r="I2404">
        <v>52</v>
      </c>
      <c r="J2404">
        <v>2330</v>
      </c>
    </row>
    <row r="2405" spans="1:10" x14ac:dyDescent="0.25">
      <c r="A2405" t="s">
        <v>199</v>
      </c>
      <c r="B2405" t="s">
        <v>198</v>
      </c>
      <c r="C2405" t="s">
        <v>349</v>
      </c>
      <c r="D2405" t="s">
        <v>532</v>
      </c>
      <c r="E2405">
        <v>20103.58361662829</v>
      </c>
      <c r="F2405">
        <v>16000</v>
      </c>
      <c r="G2405">
        <v>850</v>
      </c>
      <c r="H2405">
        <v>87000</v>
      </c>
      <c r="I2405">
        <v>105</v>
      </c>
      <c r="J2405">
        <v>2330</v>
      </c>
    </row>
    <row r="2406" spans="1:10" x14ac:dyDescent="0.25">
      <c r="A2406" t="s">
        <v>199</v>
      </c>
      <c r="B2406" t="s">
        <v>198</v>
      </c>
      <c r="C2406" t="s">
        <v>350</v>
      </c>
      <c r="D2406" t="s">
        <v>532</v>
      </c>
      <c r="E2406">
        <v>21061.004017527339</v>
      </c>
      <c r="F2406">
        <v>15600</v>
      </c>
      <c r="G2406">
        <v>860</v>
      </c>
      <c r="H2406">
        <v>340000</v>
      </c>
      <c r="I2406">
        <v>174</v>
      </c>
      <c r="J2406">
        <v>2330</v>
      </c>
    </row>
    <row r="2407" spans="1:10" x14ac:dyDescent="0.25">
      <c r="A2407" t="s">
        <v>200</v>
      </c>
      <c r="B2407" t="s">
        <v>198</v>
      </c>
      <c r="C2407" t="s">
        <v>348</v>
      </c>
      <c r="D2407" t="s">
        <v>532</v>
      </c>
      <c r="E2407">
        <v>27825.748782551422</v>
      </c>
      <c r="F2407">
        <v>21000</v>
      </c>
      <c r="G2407">
        <v>2000</v>
      </c>
      <c r="H2407">
        <v>100000</v>
      </c>
      <c r="I2407">
        <v>218</v>
      </c>
      <c r="J2407">
        <v>2330</v>
      </c>
    </row>
    <row r="2408" spans="1:10" x14ac:dyDescent="0.25">
      <c r="A2408" t="s">
        <v>200</v>
      </c>
      <c r="B2408" t="s">
        <v>198</v>
      </c>
      <c r="C2408" t="s">
        <v>349</v>
      </c>
      <c r="D2408" t="s">
        <v>532</v>
      </c>
      <c r="E2408">
        <v>19662.03005770767</v>
      </c>
      <c r="F2408">
        <v>17000</v>
      </c>
      <c r="G2408">
        <v>2000</v>
      </c>
      <c r="H2408">
        <v>84000</v>
      </c>
      <c r="I2408">
        <v>59</v>
      </c>
      <c r="J2408">
        <v>2330</v>
      </c>
    </row>
    <row r="2409" spans="1:10" x14ac:dyDescent="0.25">
      <c r="A2409" t="s">
        <v>200</v>
      </c>
      <c r="B2409" t="s">
        <v>198</v>
      </c>
      <c r="C2409" t="s">
        <v>350</v>
      </c>
      <c r="D2409" t="s">
        <v>532</v>
      </c>
      <c r="E2409">
        <v>13684.208842055999</v>
      </c>
      <c r="F2409">
        <v>12000</v>
      </c>
      <c r="G2409">
        <v>1500</v>
      </c>
      <c r="H2409">
        <v>36400</v>
      </c>
      <c r="I2409">
        <v>74</v>
      </c>
      <c r="J2409">
        <v>2330</v>
      </c>
    </row>
    <row r="2410" spans="1:10" x14ac:dyDescent="0.25">
      <c r="A2410" t="s">
        <v>201</v>
      </c>
      <c r="B2410" t="s">
        <v>198</v>
      </c>
      <c r="C2410" t="s">
        <v>348</v>
      </c>
      <c r="D2410" t="s">
        <v>532</v>
      </c>
      <c r="E2410">
        <v>18995.938855278571</v>
      </c>
      <c r="F2410">
        <v>15000</v>
      </c>
      <c r="G2410">
        <v>2000</v>
      </c>
      <c r="H2410">
        <v>68100</v>
      </c>
      <c r="I2410">
        <v>57</v>
      </c>
      <c r="J2410">
        <v>2330</v>
      </c>
    </row>
    <row r="2411" spans="1:10" x14ac:dyDescent="0.25">
      <c r="A2411" t="s">
        <v>201</v>
      </c>
      <c r="B2411" t="s">
        <v>198</v>
      </c>
      <c r="C2411" t="s">
        <v>349</v>
      </c>
      <c r="D2411" t="s">
        <v>532</v>
      </c>
      <c r="E2411">
        <v>20456.567277993421</v>
      </c>
      <c r="F2411">
        <v>18000</v>
      </c>
      <c r="G2411">
        <v>500</v>
      </c>
      <c r="H2411">
        <v>66000</v>
      </c>
      <c r="I2411">
        <v>111</v>
      </c>
      <c r="J2411">
        <v>2330</v>
      </c>
    </row>
    <row r="2412" spans="1:10" x14ac:dyDescent="0.25">
      <c r="A2412" t="s">
        <v>201</v>
      </c>
      <c r="B2412" t="s">
        <v>198</v>
      </c>
      <c r="C2412" t="s">
        <v>350</v>
      </c>
      <c r="D2412" t="s">
        <v>532</v>
      </c>
      <c r="E2412">
        <v>14322.646630031421</v>
      </c>
      <c r="F2412">
        <v>14000</v>
      </c>
      <c r="G2412">
        <v>2000</v>
      </c>
      <c r="H2412">
        <v>51500</v>
      </c>
      <c r="I2412">
        <v>52</v>
      </c>
      <c r="J2412">
        <v>2330</v>
      </c>
    </row>
    <row r="2413" spans="1:10" x14ac:dyDescent="0.25">
      <c r="A2413" t="s">
        <v>202</v>
      </c>
      <c r="B2413" t="s">
        <v>198</v>
      </c>
      <c r="C2413" t="s">
        <v>348</v>
      </c>
      <c r="D2413" t="s">
        <v>532</v>
      </c>
      <c r="E2413">
        <v>20937.54613023793</v>
      </c>
      <c r="F2413">
        <v>16000</v>
      </c>
      <c r="G2413">
        <v>860</v>
      </c>
      <c r="H2413">
        <v>150000</v>
      </c>
      <c r="I2413">
        <v>89</v>
      </c>
      <c r="J2413">
        <v>2330</v>
      </c>
    </row>
    <row r="2414" spans="1:10" x14ac:dyDescent="0.25">
      <c r="A2414" t="s">
        <v>199</v>
      </c>
      <c r="B2414" t="s">
        <v>203</v>
      </c>
      <c r="C2414" t="s">
        <v>348</v>
      </c>
      <c r="D2414" t="s">
        <v>532</v>
      </c>
      <c r="E2414">
        <v>21902.557801950359</v>
      </c>
      <c r="F2414">
        <v>24750</v>
      </c>
      <c r="G2414">
        <v>3370</v>
      </c>
      <c r="H2414">
        <v>70300</v>
      </c>
      <c r="I2414">
        <v>33</v>
      </c>
      <c r="J2414">
        <v>2330</v>
      </c>
    </row>
    <row r="2415" spans="1:10" x14ac:dyDescent="0.25">
      <c r="A2415" t="s">
        <v>199</v>
      </c>
      <c r="B2415" t="s">
        <v>203</v>
      </c>
      <c r="C2415" t="s">
        <v>349</v>
      </c>
      <c r="D2415" t="s">
        <v>532</v>
      </c>
      <c r="E2415">
        <v>26945.636320186939</v>
      </c>
      <c r="F2415">
        <v>25000</v>
      </c>
      <c r="G2415">
        <v>1000</v>
      </c>
      <c r="H2415">
        <v>130000</v>
      </c>
      <c r="I2415">
        <v>154</v>
      </c>
      <c r="J2415">
        <v>2330</v>
      </c>
    </row>
    <row r="2416" spans="1:10" x14ac:dyDescent="0.25">
      <c r="A2416" t="s">
        <v>199</v>
      </c>
      <c r="B2416" t="s">
        <v>203</v>
      </c>
      <c r="C2416" t="s">
        <v>350</v>
      </c>
      <c r="D2416" t="s">
        <v>532</v>
      </c>
      <c r="E2416">
        <v>24827.7555105629</v>
      </c>
      <c r="F2416">
        <v>18500</v>
      </c>
      <c r="G2416">
        <v>500</v>
      </c>
      <c r="H2416">
        <v>330000</v>
      </c>
      <c r="I2416">
        <v>257</v>
      </c>
      <c r="J2416">
        <v>2330</v>
      </c>
    </row>
    <row r="2417" spans="1:10" x14ac:dyDescent="0.25">
      <c r="A2417" t="s">
        <v>200</v>
      </c>
      <c r="B2417" t="s">
        <v>203</v>
      </c>
      <c r="C2417" t="s">
        <v>348</v>
      </c>
      <c r="D2417" t="s">
        <v>532</v>
      </c>
      <c r="E2417">
        <v>35140.08264952201</v>
      </c>
      <c r="F2417">
        <v>30000</v>
      </c>
      <c r="G2417">
        <v>860</v>
      </c>
      <c r="H2417">
        <v>250000</v>
      </c>
      <c r="I2417">
        <v>251</v>
      </c>
      <c r="J2417">
        <v>2330</v>
      </c>
    </row>
    <row r="2418" spans="1:10" x14ac:dyDescent="0.25">
      <c r="A2418" t="s">
        <v>200</v>
      </c>
      <c r="B2418" t="s">
        <v>203</v>
      </c>
      <c r="C2418" t="s">
        <v>349</v>
      </c>
      <c r="D2418" t="s">
        <v>532</v>
      </c>
      <c r="E2418">
        <v>25179.107660487782</v>
      </c>
      <c r="F2418">
        <v>21000</v>
      </c>
      <c r="G2418">
        <v>860</v>
      </c>
      <c r="H2418">
        <v>100000</v>
      </c>
      <c r="I2418">
        <v>101</v>
      </c>
      <c r="J2418">
        <v>2330</v>
      </c>
    </row>
    <row r="2419" spans="1:10" x14ac:dyDescent="0.25">
      <c r="A2419" t="s">
        <v>200</v>
      </c>
      <c r="B2419" t="s">
        <v>203</v>
      </c>
      <c r="C2419" t="s">
        <v>350</v>
      </c>
      <c r="D2419" t="s">
        <v>532</v>
      </c>
      <c r="E2419">
        <v>21466.14788102224</v>
      </c>
      <c r="F2419">
        <v>20000</v>
      </c>
      <c r="G2419">
        <v>860</v>
      </c>
      <c r="H2419">
        <v>65000</v>
      </c>
      <c r="I2419">
        <v>82</v>
      </c>
      <c r="J2419">
        <v>2330</v>
      </c>
    </row>
    <row r="2420" spans="1:10" x14ac:dyDescent="0.25">
      <c r="A2420" t="s">
        <v>201</v>
      </c>
      <c r="B2420" t="s">
        <v>203</v>
      </c>
      <c r="C2420" t="s">
        <v>348</v>
      </c>
      <c r="D2420" t="s">
        <v>532</v>
      </c>
      <c r="E2420">
        <v>20181.234804012671</v>
      </c>
      <c r="F2420">
        <v>18000</v>
      </c>
      <c r="G2420">
        <v>2700</v>
      </c>
      <c r="H2420">
        <v>73400</v>
      </c>
      <c r="I2420">
        <v>57</v>
      </c>
      <c r="J2420">
        <v>2330</v>
      </c>
    </row>
    <row r="2421" spans="1:10" x14ac:dyDescent="0.25">
      <c r="A2421" t="s">
        <v>201</v>
      </c>
      <c r="B2421" t="s">
        <v>203</v>
      </c>
      <c r="C2421" t="s">
        <v>349</v>
      </c>
      <c r="D2421" t="s">
        <v>532</v>
      </c>
      <c r="E2421">
        <v>27181.588957185239</v>
      </c>
      <c r="F2421">
        <v>23000</v>
      </c>
      <c r="G2421">
        <v>860</v>
      </c>
      <c r="H2421">
        <v>113000</v>
      </c>
      <c r="I2421">
        <v>126</v>
      </c>
      <c r="J2421">
        <v>2330</v>
      </c>
    </row>
    <row r="2422" spans="1:10" x14ac:dyDescent="0.25">
      <c r="A2422" t="s">
        <v>201</v>
      </c>
      <c r="B2422" t="s">
        <v>203</v>
      </c>
      <c r="C2422" t="s">
        <v>350</v>
      </c>
      <c r="D2422" t="s">
        <v>532</v>
      </c>
      <c r="E2422">
        <v>18085.246956465711</v>
      </c>
      <c r="F2422">
        <v>14000</v>
      </c>
      <c r="G2422">
        <v>860</v>
      </c>
      <c r="H2422">
        <v>120000</v>
      </c>
      <c r="I2422">
        <v>90</v>
      </c>
      <c r="J2422">
        <v>2330</v>
      </c>
    </row>
    <row r="2423" spans="1:10" x14ac:dyDescent="0.25">
      <c r="A2423" t="s">
        <v>202</v>
      </c>
      <c r="B2423" t="s">
        <v>203</v>
      </c>
      <c r="C2423" t="s">
        <v>348</v>
      </c>
      <c r="D2423" t="s">
        <v>532</v>
      </c>
      <c r="E2423">
        <v>33340.773778641807</v>
      </c>
      <c r="F2423">
        <v>28000</v>
      </c>
      <c r="G2423">
        <v>860</v>
      </c>
      <c r="H2423">
        <v>140000</v>
      </c>
      <c r="I2423">
        <v>83</v>
      </c>
      <c r="J2423">
        <v>2330</v>
      </c>
    </row>
    <row r="2424" spans="1:10" x14ac:dyDescent="0.25">
      <c r="A2424" t="s">
        <v>204</v>
      </c>
      <c r="B2424" t="s">
        <v>204</v>
      </c>
      <c r="C2424" t="s">
        <v>204</v>
      </c>
      <c r="D2424" t="s">
        <v>204</v>
      </c>
      <c r="E2424">
        <v>26394.85699340967</v>
      </c>
      <c r="F2424">
        <v>20200</v>
      </c>
      <c r="G2424">
        <v>500</v>
      </c>
      <c r="H2424">
        <v>340000</v>
      </c>
      <c r="I2424">
        <v>2330</v>
      </c>
      <c r="J2424">
        <v>2330</v>
      </c>
    </row>
    <row r="2426" spans="1:10" x14ac:dyDescent="0.25">
      <c r="A2426" t="s">
        <v>723</v>
      </c>
    </row>
    <row r="2427" spans="1:10" x14ac:dyDescent="0.25">
      <c r="A2427" t="s">
        <v>190</v>
      </c>
      <c r="B2427" t="s">
        <v>195</v>
      </c>
      <c r="C2427" t="s">
        <v>189</v>
      </c>
      <c r="D2427" t="s">
        <v>196</v>
      </c>
      <c r="E2427" t="s">
        <v>220</v>
      </c>
      <c r="F2427" t="s">
        <v>207</v>
      </c>
      <c r="G2427" t="s">
        <v>215</v>
      </c>
      <c r="H2427" t="s">
        <v>208</v>
      </c>
    </row>
    <row r="2428" spans="1:10" x14ac:dyDescent="0.25">
      <c r="A2428" t="s">
        <v>198</v>
      </c>
      <c r="B2428">
        <v>82</v>
      </c>
      <c r="C2428" t="s">
        <v>197</v>
      </c>
      <c r="D2428">
        <v>2633</v>
      </c>
      <c r="F2428" s="1">
        <v>0.8589</v>
      </c>
      <c r="H2428" s="1">
        <v>0.1411</v>
      </c>
    </row>
    <row r="2429" spans="1:10" x14ac:dyDescent="0.25">
      <c r="A2429" t="s">
        <v>198</v>
      </c>
      <c r="B2429">
        <v>368</v>
      </c>
      <c r="C2429" t="s">
        <v>199</v>
      </c>
      <c r="D2429">
        <v>2633</v>
      </c>
      <c r="F2429" s="1">
        <v>0.89949999999999997</v>
      </c>
      <c r="H2429" s="1">
        <v>0.10050000000000001</v>
      </c>
    </row>
    <row r="2430" spans="1:10" x14ac:dyDescent="0.25">
      <c r="A2430" t="s">
        <v>198</v>
      </c>
      <c r="B2430">
        <v>387</v>
      </c>
      <c r="C2430" t="s">
        <v>200</v>
      </c>
      <c r="D2430">
        <v>2633</v>
      </c>
      <c r="E2430" s="1">
        <v>3.0999999999999999E-3</v>
      </c>
      <c r="F2430" s="1">
        <v>0.8357</v>
      </c>
      <c r="H2430" s="1">
        <v>0.1613</v>
      </c>
    </row>
    <row r="2431" spans="1:10" x14ac:dyDescent="0.25">
      <c r="A2431" t="s">
        <v>198</v>
      </c>
      <c r="B2431">
        <v>256</v>
      </c>
      <c r="C2431" t="s">
        <v>201</v>
      </c>
      <c r="D2431">
        <v>2633</v>
      </c>
      <c r="E2431" s="1">
        <v>9.2999999999999992E-3</v>
      </c>
      <c r="F2431" s="1">
        <v>0.76149999999999995</v>
      </c>
      <c r="H2431" s="1">
        <v>0.22919999999999999</v>
      </c>
    </row>
    <row r="2432" spans="1:10" x14ac:dyDescent="0.25">
      <c r="A2432" t="s">
        <v>198</v>
      </c>
      <c r="B2432">
        <v>96</v>
      </c>
      <c r="C2432" t="s">
        <v>202</v>
      </c>
      <c r="D2432">
        <v>2633</v>
      </c>
      <c r="F2432" s="1">
        <v>0.83589999999999998</v>
      </c>
      <c r="H2432" s="1">
        <v>0.1641</v>
      </c>
    </row>
    <row r="2433" spans="1:9" x14ac:dyDescent="0.25">
      <c r="A2433" t="s">
        <v>203</v>
      </c>
      <c r="B2433">
        <v>530</v>
      </c>
      <c r="C2433" t="s">
        <v>199</v>
      </c>
      <c r="D2433">
        <v>2633</v>
      </c>
      <c r="E2433" s="1">
        <v>1.2999999999999999E-3</v>
      </c>
      <c r="F2433" s="1">
        <v>0.88500000000000001</v>
      </c>
      <c r="G2433" s="1">
        <v>9.9000000000000008E-3</v>
      </c>
      <c r="H2433" s="1">
        <v>0.10390000000000001</v>
      </c>
    </row>
    <row r="2434" spans="1:9" x14ac:dyDescent="0.25">
      <c r="A2434" t="s">
        <v>203</v>
      </c>
      <c r="B2434">
        <v>503</v>
      </c>
      <c r="C2434" t="s">
        <v>200</v>
      </c>
      <c r="D2434">
        <v>2633</v>
      </c>
      <c r="E2434" s="1">
        <v>1.41E-2</v>
      </c>
      <c r="F2434" s="1">
        <v>0.89280000000000004</v>
      </c>
      <c r="H2434" s="1">
        <v>9.3200000000000005E-2</v>
      </c>
    </row>
    <row r="2435" spans="1:9" x14ac:dyDescent="0.25">
      <c r="A2435" t="s">
        <v>203</v>
      </c>
      <c r="B2435">
        <v>321</v>
      </c>
      <c r="C2435" t="s">
        <v>201</v>
      </c>
      <c r="D2435">
        <v>2633</v>
      </c>
      <c r="F2435" s="1">
        <v>0.8669</v>
      </c>
      <c r="G2435" s="1">
        <v>5.4999999999999997E-3</v>
      </c>
      <c r="H2435" s="1">
        <v>0.12759999999999999</v>
      </c>
    </row>
    <row r="2436" spans="1:9" x14ac:dyDescent="0.25">
      <c r="A2436" t="s">
        <v>203</v>
      </c>
      <c r="B2436">
        <v>90</v>
      </c>
      <c r="C2436" t="s">
        <v>202</v>
      </c>
      <c r="D2436">
        <v>2633</v>
      </c>
      <c r="E2436" s="1">
        <v>5.8999999999999999E-3</v>
      </c>
      <c r="F2436" s="1">
        <v>0.84189999999999998</v>
      </c>
      <c r="G2436" s="1">
        <v>4.8999999999999998E-3</v>
      </c>
      <c r="H2436" s="1">
        <v>0.1472</v>
      </c>
    </row>
    <row r="2437" spans="1:9" x14ac:dyDescent="0.25">
      <c r="A2437" t="s">
        <v>204</v>
      </c>
      <c r="B2437">
        <v>2633</v>
      </c>
      <c r="C2437" t="s">
        <v>204</v>
      </c>
      <c r="D2437">
        <v>2633</v>
      </c>
      <c r="E2437" s="1">
        <v>5.5999999999999999E-3</v>
      </c>
      <c r="F2437" s="1">
        <v>0.86780000000000002</v>
      </c>
      <c r="G2437" s="1">
        <v>1.8E-3</v>
      </c>
      <c r="H2437" s="1">
        <v>0.12479999999999999</v>
      </c>
    </row>
    <row r="2439" spans="1:9" x14ac:dyDescent="0.25">
      <c r="A2439" t="s">
        <v>724</v>
      </c>
    </row>
    <row r="2440" spans="1:9" x14ac:dyDescent="0.25">
      <c r="A2440" t="s">
        <v>190</v>
      </c>
      <c r="B2440" t="s">
        <v>206</v>
      </c>
      <c r="C2440" t="s">
        <v>195</v>
      </c>
      <c r="D2440" t="s">
        <v>189</v>
      </c>
      <c r="E2440" t="s">
        <v>196</v>
      </c>
      <c r="F2440" t="s">
        <v>220</v>
      </c>
      <c r="G2440" t="s">
        <v>207</v>
      </c>
      <c r="H2440" t="s">
        <v>215</v>
      </c>
      <c r="I2440" t="s">
        <v>208</v>
      </c>
    </row>
    <row r="2441" spans="1:9" x14ac:dyDescent="0.25">
      <c r="A2441" t="s">
        <v>198</v>
      </c>
      <c r="B2441" t="s">
        <v>228</v>
      </c>
      <c r="C2441">
        <v>33</v>
      </c>
      <c r="D2441" t="s">
        <v>197</v>
      </c>
      <c r="E2441">
        <v>2633</v>
      </c>
      <c r="G2441" s="1">
        <v>0.96819999999999995</v>
      </c>
      <c r="I2441" s="1">
        <v>3.1800000000000002E-2</v>
      </c>
    </row>
    <row r="2442" spans="1:9" x14ac:dyDescent="0.25">
      <c r="A2442" t="s">
        <v>198</v>
      </c>
      <c r="B2442" t="s">
        <v>229</v>
      </c>
      <c r="C2442">
        <v>49</v>
      </c>
      <c r="D2442" t="s">
        <v>197</v>
      </c>
      <c r="E2442">
        <v>2633</v>
      </c>
      <c r="G2442" s="1">
        <v>0.77580000000000005</v>
      </c>
      <c r="I2442" s="1">
        <v>0.22420000000000001</v>
      </c>
    </row>
    <row r="2443" spans="1:9" x14ac:dyDescent="0.25">
      <c r="A2443" t="s">
        <v>198</v>
      </c>
      <c r="B2443" t="s">
        <v>228</v>
      </c>
      <c r="C2443">
        <v>145</v>
      </c>
      <c r="D2443" t="s">
        <v>199</v>
      </c>
      <c r="E2443">
        <v>2633</v>
      </c>
      <c r="G2443" s="1">
        <v>0.90080000000000005</v>
      </c>
      <c r="I2443" s="1">
        <v>9.9199999999999997E-2</v>
      </c>
    </row>
    <row r="2444" spans="1:9" x14ac:dyDescent="0.25">
      <c r="A2444" t="s">
        <v>198</v>
      </c>
      <c r="B2444" t="s">
        <v>229</v>
      </c>
      <c r="C2444">
        <v>213</v>
      </c>
      <c r="D2444" t="s">
        <v>199</v>
      </c>
      <c r="E2444">
        <v>2633</v>
      </c>
      <c r="G2444" s="1">
        <v>0.89800000000000002</v>
      </c>
      <c r="I2444" s="1">
        <v>0.10199999999999999</v>
      </c>
    </row>
    <row r="2445" spans="1:9" x14ac:dyDescent="0.25">
      <c r="A2445" t="s">
        <v>198</v>
      </c>
      <c r="B2445" t="s">
        <v>229</v>
      </c>
      <c r="C2445">
        <v>270</v>
      </c>
      <c r="D2445" t="s">
        <v>200</v>
      </c>
      <c r="E2445">
        <v>2633</v>
      </c>
      <c r="F2445" s="1">
        <v>4.0000000000000001E-3</v>
      </c>
      <c r="G2445" s="1">
        <v>0.82569999999999999</v>
      </c>
      <c r="I2445" s="1">
        <v>0.17019999999999999</v>
      </c>
    </row>
    <row r="2446" spans="1:9" x14ac:dyDescent="0.25">
      <c r="A2446" t="s">
        <v>198</v>
      </c>
      <c r="B2446" t="s">
        <v>228</v>
      </c>
      <c r="C2446">
        <v>112</v>
      </c>
      <c r="D2446" t="s">
        <v>200</v>
      </c>
      <c r="E2446">
        <v>2633</v>
      </c>
      <c r="G2446" s="1">
        <v>0.86329999999999996</v>
      </c>
      <c r="I2446" s="1">
        <v>0.13669999999999999</v>
      </c>
    </row>
    <row r="2447" spans="1:9" x14ac:dyDescent="0.25">
      <c r="A2447" t="s">
        <v>198</v>
      </c>
      <c r="B2447" t="s">
        <v>228</v>
      </c>
      <c r="C2447">
        <v>95</v>
      </c>
      <c r="D2447" t="s">
        <v>201</v>
      </c>
      <c r="E2447">
        <v>2633</v>
      </c>
      <c r="G2447" s="1">
        <v>0.80230000000000001</v>
      </c>
      <c r="I2447" s="1">
        <v>0.19769999999999999</v>
      </c>
    </row>
    <row r="2448" spans="1:9" x14ac:dyDescent="0.25">
      <c r="A2448" t="s">
        <v>198</v>
      </c>
      <c r="B2448" t="s">
        <v>229</v>
      </c>
      <c r="C2448">
        <v>155</v>
      </c>
      <c r="D2448" t="s">
        <v>201</v>
      </c>
      <c r="E2448">
        <v>2633</v>
      </c>
      <c r="F2448" s="1">
        <v>1.2E-2</v>
      </c>
      <c r="G2448" s="1">
        <v>0.75280000000000002</v>
      </c>
      <c r="I2448" s="1">
        <v>0.23519999999999999</v>
      </c>
    </row>
    <row r="2449" spans="1:19" s="29" customFormat="1" x14ac:dyDescent="0.25">
      <c r="A2449" s="29" t="s">
        <v>198</v>
      </c>
      <c r="B2449" s="29" t="s">
        <v>228</v>
      </c>
      <c r="C2449" s="29">
        <v>28</v>
      </c>
      <c r="D2449" s="29" t="s">
        <v>202</v>
      </c>
      <c r="E2449" s="29">
        <v>2633</v>
      </c>
      <c r="G2449" s="30">
        <v>0.81850000000000001</v>
      </c>
      <c r="I2449" s="30">
        <v>0.18149999999999999</v>
      </c>
    </row>
    <row r="2450" spans="1:19" x14ac:dyDescent="0.25">
      <c r="A2450" t="s">
        <v>198</v>
      </c>
      <c r="B2450" t="s">
        <v>229</v>
      </c>
      <c r="C2450">
        <v>68</v>
      </c>
      <c r="D2450" t="s">
        <v>202</v>
      </c>
      <c r="E2450">
        <v>2633</v>
      </c>
      <c r="G2450" s="1">
        <v>0.84130000000000005</v>
      </c>
      <c r="I2450" s="1">
        <v>0.15870000000000001</v>
      </c>
    </row>
    <row r="2451" spans="1:19" x14ac:dyDescent="0.25">
      <c r="A2451" t="s">
        <v>203</v>
      </c>
      <c r="B2451" t="s">
        <v>229</v>
      </c>
      <c r="C2451">
        <v>370</v>
      </c>
      <c r="D2451" t="s">
        <v>199</v>
      </c>
      <c r="E2451">
        <v>2633</v>
      </c>
      <c r="F2451" s="1">
        <v>1.1999999999999999E-3</v>
      </c>
      <c r="G2451" s="1">
        <v>0.89680000000000004</v>
      </c>
      <c r="H2451" s="1">
        <v>1E-3</v>
      </c>
      <c r="I2451" s="1">
        <v>0.10100000000000001</v>
      </c>
    </row>
    <row r="2452" spans="1:19" x14ac:dyDescent="0.25">
      <c r="A2452" t="s">
        <v>203</v>
      </c>
      <c r="B2452" t="s">
        <v>228</v>
      </c>
      <c r="C2452">
        <v>150</v>
      </c>
      <c r="D2452" t="s">
        <v>199</v>
      </c>
      <c r="E2452">
        <v>2633</v>
      </c>
      <c r="F2452" s="1">
        <v>2E-3</v>
      </c>
      <c r="G2452" s="1">
        <v>0.77949999999999997</v>
      </c>
      <c r="H2452" s="1">
        <v>8.5800000000000001E-2</v>
      </c>
      <c r="I2452" s="1">
        <v>0.13270000000000001</v>
      </c>
    </row>
    <row r="2453" spans="1:19" x14ac:dyDescent="0.25">
      <c r="A2453" t="s">
        <v>203</v>
      </c>
      <c r="B2453" t="s">
        <v>229</v>
      </c>
      <c r="C2453">
        <v>347</v>
      </c>
      <c r="D2453" t="s">
        <v>200</v>
      </c>
      <c r="E2453">
        <v>2633</v>
      </c>
      <c r="F2453" s="1">
        <v>1.7399999999999999E-2</v>
      </c>
      <c r="G2453" s="1">
        <v>0.88770000000000004</v>
      </c>
      <c r="I2453" s="1">
        <v>9.4799999999999995E-2</v>
      </c>
    </row>
    <row r="2454" spans="1:19" x14ac:dyDescent="0.25">
      <c r="A2454" t="s">
        <v>203</v>
      </c>
      <c r="B2454" t="s">
        <v>228</v>
      </c>
      <c r="C2454">
        <v>155</v>
      </c>
      <c r="D2454" t="s">
        <v>200</v>
      </c>
      <c r="E2454">
        <v>2633</v>
      </c>
      <c r="G2454" s="1">
        <v>0.91379999999999995</v>
      </c>
      <c r="I2454" s="1">
        <v>8.6199999999999999E-2</v>
      </c>
    </row>
    <row r="2455" spans="1:19" x14ac:dyDescent="0.25">
      <c r="A2455" t="s">
        <v>203</v>
      </c>
      <c r="B2455" t="s">
        <v>229</v>
      </c>
      <c r="C2455">
        <v>137</v>
      </c>
      <c r="D2455" t="s">
        <v>201</v>
      </c>
      <c r="E2455">
        <v>2633</v>
      </c>
      <c r="G2455" s="1">
        <v>0.90769999999999995</v>
      </c>
      <c r="I2455" s="1">
        <v>9.2299999999999993E-2</v>
      </c>
    </row>
    <row r="2456" spans="1:19" x14ac:dyDescent="0.25">
      <c r="A2456" t="s">
        <v>203</v>
      </c>
      <c r="B2456" t="s">
        <v>228</v>
      </c>
      <c r="C2456">
        <v>177</v>
      </c>
      <c r="D2456" t="s">
        <v>201</v>
      </c>
      <c r="E2456">
        <v>2633</v>
      </c>
      <c r="G2456" s="1">
        <v>0.7359</v>
      </c>
      <c r="H2456" s="1">
        <v>2.3099999999999999E-2</v>
      </c>
      <c r="I2456" s="1">
        <v>0.24099999999999999</v>
      </c>
    </row>
    <row r="2457" spans="1:19" x14ac:dyDescent="0.25">
      <c r="A2457" t="s">
        <v>203</v>
      </c>
      <c r="B2457" t="s">
        <v>228</v>
      </c>
      <c r="C2457">
        <v>34</v>
      </c>
      <c r="D2457" t="s">
        <v>202</v>
      </c>
      <c r="E2457">
        <v>2633</v>
      </c>
      <c r="G2457" s="1">
        <v>0.82289999999999996</v>
      </c>
      <c r="I2457" s="1">
        <v>0.17710000000000001</v>
      </c>
    </row>
    <row r="2458" spans="1:19" x14ac:dyDescent="0.25">
      <c r="A2458" t="s">
        <v>203</v>
      </c>
      <c r="B2458" t="s">
        <v>229</v>
      </c>
      <c r="C2458">
        <v>56</v>
      </c>
      <c r="D2458" t="s">
        <v>202</v>
      </c>
      <c r="E2458">
        <v>2633</v>
      </c>
      <c r="F2458" s="1">
        <v>8.3000000000000001E-3</v>
      </c>
      <c r="G2458" s="1">
        <v>0.84940000000000004</v>
      </c>
      <c r="H2458" s="1">
        <v>6.8999999999999999E-3</v>
      </c>
      <c r="I2458" s="1">
        <v>0.13539999999999999</v>
      </c>
    </row>
    <row r="2459" spans="1:19" x14ac:dyDescent="0.25">
      <c r="A2459" t="s">
        <v>204</v>
      </c>
      <c r="B2459" t="s">
        <v>204</v>
      </c>
      <c r="C2459">
        <v>2633</v>
      </c>
      <c r="D2459" t="s">
        <v>204</v>
      </c>
      <c r="E2459">
        <v>2633</v>
      </c>
      <c r="F2459" s="1">
        <v>5.5999999999999999E-3</v>
      </c>
      <c r="G2459" s="1">
        <v>0.86780000000000002</v>
      </c>
      <c r="H2459" s="1">
        <v>1.8E-3</v>
      </c>
      <c r="I2459" s="1">
        <v>0.12479999999999999</v>
      </c>
    </row>
    <row r="2461" spans="1:19" x14ac:dyDescent="0.25">
      <c r="A2461" t="s">
        <v>725</v>
      </c>
    </row>
    <row r="2462" spans="1:19" x14ac:dyDescent="0.25">
      <c r="A2462" t="s">
        <v>190</v>
      </c>
      <c r="B2462" t="s">
        <v>195</v>
      </c>
      <c r="C2462" t="s">
        <v>189</v>
      </c>
      <c r="D2462" t="s">
        <v>196</v>
      </c>
      <c r="E2462" t="s">
        <v>726</v>
      </c>
      <c r="F2462" t="s">
        <v>727</v>
      </c>
      <c r="G2462" t="s">
        <v>728</v>
      </c>
      <c r="H2462" t="s">
        <v>729</v>
      </c>
      <c r="I2462" t="s">
        <v>730</v>
      </c>
      <c r="J2462" t="s">
        <v>731</v>
      </c>
      <c r="K2462" t="s">
        <v>732</v>
      </c>
      <c r="L2462" t="s">
        <v>733</v>
      </c>
      <c r="M2462" t="s">
        <v>235</v>
      </c>
      <c r="N2462" t="s">
        <v>215</v>
      </c>
      <c r="O2462" t="s">
        <v>734</v>
      </c>
      <c r="P2462" t="s">
        <v>735</v>
      </c>
      <c r="Q2462" t="s">
        <v>736</v>
      </c>
      <c r="R2462" t="s">
        <v>737</v>
      </c>
      <c r="S2462" t="s">
        <v>738</v>
      </c>
    </row>
    <row r="2463" spans="1:19" s="29" customFormat="1" x14ac:dyDescent="0.25">
      <c r="A2463" s="29" t="s">
        <v>198</v>
      </c>
      <c r="B2463" s="29">
        <v>11</v>
      </c>
      <c r="C2463" s="29" t="s">
        <v>197</v>
      </c>
      <c r="D2463" s="29">
        <v>422</v>
      </c>
      <c r="E2463" s="30">
        <v>0.20050000000000001</v>
      </c>
      <c r="F2463" s="30">
        <v>0.28170000000000001</v>
      </c>
      <c r="I2463" s="30">
        <v>0.32300000000000001</v>
      </c>
      <c r="K2463" s="30">
        <v>7.8200000000000006E-2</v>
      </c>
      <c r="M2463" s="30">
        <v>7.8200000000000006E-2</v>
      </c>
      <c r="N2463" s="30">
        <v>9.74E-2</v>
      </c>
      <c r="O2463" s="30">
        <v>9.74E-2</v>
      </c>
      <c r="S2463" s="30">
        <v>9.74E-2</v>
      </c>
    </row>
    <row r="2464" spans="1:19" x14ac:dyDescent="0.25">
      <c r="A2464" t="s">
        <v>198</v>
      </c>
      <c r="B2464">
        <v>60</v>
      </c>
      <c r="C2464" t="s">
        <v>199</v>
      </c>
      <c r="D2464">
        <v>422</v>
      </c>
      <c r="E2464" s="1">
        <v>0.18410000000000001</v>
      </c>
      <c r="F2464" s="1">
        <v>0.33629999999999999</v>
      </c>
      <c r="G2464" s="1">
        <v>2.9000000000000001E-2</v>
      </c>
      <c r="H2464" s="1">
        <v>7.2300000000000003E-2</v>
      </c>
      <c r="I2464" s="1">
        <v>0.37990000000000002</v>
      </c>
      <c r="M2464" s="1">
        <v>5.6899999999999999E-2</v>
      </c>
      <c r="P2464" s="1">
        <v>2.5999999999999999E-2</v>
      </c>
      <c r="Q2464" s="1">
        <v>4.3E-3</v>
      </c>
      <c r="R2464" s="1">
        <v>2.8400000000000002E-2</v>
      </c>
      <c r="S2464" s="1">
        <v>0.16209999999999999</v>
      </c>
    </row>
    <row r="2465" spans="1:20" x14ac:dyDescent="0.25">
      <c r="A2465" t="s">
        <v>198</v>
      </c>
      <c r="B2465">
        <v>63</v>
      </c>
      <c r="C2465" t="s">
        <v>200</v>
      </c>
      <c r="D2465">
        <v>422</v>
      </c>
      <c r="E2465" s="1">
        <v>0.21870000000000001</v>
      </c>
      <c r="F2465" s="1">
        <v>0.41</v>
      </c>
      <c r="G2465" s="1">
        <v>4.8000000000000001E-2</v>
      </c>
      <c r="H2465" s="1">
        <v>0.10059999999999999</v>
      </c>
      <c r="I2465" s="1">
        <v>0.24929999999999999</v>
      </c>
      <c r="K2465" s="1">
        <v>4.24E-2</v>
      </c>
      <c r="O2465" s="1">
        <v>8.2600000000000007E-2</v>
      </c>
      <c r="P2465" s="1">
        <v>4.8599999999999997E-2</v>
      </c>
      <c r="Q2465" s="1">
        <v>1.4E-2</v>
      </c>
      <c r="R2465" s="1">
        <v>3.5200000000000002E-2</v>
      </c>
      <c r="S2465" s="1">
        <v>0.11459999999999999</v>
      </c>
    </row>
    <row r="2466" spans="1:20" x14ac:dyDescent="0.25">
      <c r="A2466" t="s">
        <v>198</v>
      </c>
      <c r="B2466">
        <v>55</v>
      </c>
      <c r="C2466" t="s">
        <v>201</v>
      </c>
      <c r="D2466">
        <v>422</v>
      </c>
      <c r="E2466" s="1">
        <v>6.8699999999999997E-2</v>
      </c>
      <c r="F2466" s="1">
        <v>0.4113</v>
      </c>
      <c r="G2466" s="1">
        <v>4.2099999999999999E-2</v>
      </c>
      <c r="H2466" s="1">
        <v>9.1200000000000003E-2</v>
      </c>
      <c r="I2466" s="1">
        <v>0.42570000000000002</v>
      </c>
      <c r="L2466" s="1">
        <v>4.07E-2</v>
      </c>
      <c r="M2466" s="1">
        <v>2.8999999999999998E-3</v>
      </c>
      <c r="P2466" s="1">
        <v>4.07E-2</v>
      </c>
      <c r="Q2466" s="1">
        <v>2.9499999999999998E-2</v>
      </c>
      <c r="R2466" s="1">
        <v>2.8999999999999998E-3</v>
      </c>
      <c r="S2466" s="1">
        <v>0.14879999999999999</v>
      </c>
    </row>
    <row r="2467" spans="1:20" s="29" customFormat="1" x14ac:dyDescent="0.25">
      <c r="A2467" s="29" t="s">
        <v>198</v>
      </c>
      <c r="B2467" s="29">
        <v>17</v>
      </c>
      <c r="C2467" s="29" t="s">
        <v>202</v>
      </c>
      <c r="D2467" s="29">
        <v>422</v>
      </c>
      <c r="E2467" s="30">
        <v>1.55E-2</v>
      </c>
      <c r="F2467" s="30">
        <v>0.25940000000000002</v>
      </c>
      <c r="G2467" s="30">
        <v>1.55E-2</v>
      </c>
      <c r="H2467" s="30">
        <v>9.8500000000000004E-2</v>
      </c>
      <c r="I2467" s="30">
        <v>0.45739999999999997</v>
      </c>
      <c r="K2467" s="30">
        <v>1.55E-2</v>
      </c>
      <c r="N2467" s="30">
        <v>0.15379999999999999</v>
      </c>
      <c r="S2467" s="30">
        <v>0.1085</v>
      </c>
    </row>
    <row r="2468" spans="1:20" x14ac:dyDescent="0.25">
      <c r="A2468" t="s">
        <v>203</v>
      </c>
      <c r="B2468">
        <v>89</v>
      </c>
      <c r="C2468" t="s">
        <v>199</v>
      </c>
      <c r="D2468">
        <v>422</v>
      </c>
      <c r="E2468" s="1">
        <v>0.19009999999999999</v>
      </c>
      <c r="F2468" s="1">
        <v>0.3427</v>
      </c>
      <c r="G2468" s="1">
        <v>2.0500000000000001E-2</v>
      </c>
      <c r="H2468" s="1">
        <v>9.74E-2</v>
      </c>
      <c r="I2468" s="1">
        <v>0.36120000000000002</v>
      </c>
      <c r="K2468" s="1">
        <v>0.1172</v>
      </c>
      <c r="N2468" s="1">
        <v>1.01E-2</v>
      </c>
      <c r="O2468" s="1">
        <v>5.1999999999999998E-3</v>
      </c>
      <c r="P2468" s="1">
        <v>0.1273</v>
      </c>
      <c r="Q2468" s="1">
        <v>5.1999999999999998E-3</v>
      </c>
      <c r="R2468" s="1">
        <v>5.3100000000000001E-2</v>
      </c>
      <c r="S2468" s="1">
        <v>7.3899999999999993E-2</v>
      </c>
    </row>
    <row r="2469" spans="1:20" x14ac:dyDescent="0.25">
      <c r="A2469" t="s">
        <v>203</v>
      </c>
      <c r="B2469">
        <v>56</v>
      </c>
      <c r="C2469" t="s">
        <v>200</v>
      </c>
      <c r="D2469">
        <v>422</v>
      </c>
      <c r="E2469" s="1">
        <v>9.9599999999999994E-2</v>
      </c>
      <c r="F2469" s="1">
        <v>0.16980000000000001</v>
      </c>
      <c r="G2469" s="1">
        <v>4.9500000000000002E-2</v>
      </c>
      <c r="H2469" s="1">
        <v>0.15210000000000001</v>
      </c>
      <c r="I2469" s="1">
        <v>0.28149999999999997</v>
      </c>
      <c r="K2469" s="1">
        <v>0.2351</v>
      </c>
      <c r="M2469" s="1">
        <v>4.3099999999999999E-2</v>
      </c>
      <c r="O2469" s="1">
        <v>1.1999999999999999E-3</v>
      </c>
      <c r="P2469" s="1">
        <v>1.9300000000000001E-2</v>
      </c>
      <c r="R2469" s="1">
        <v>5.1200000000000002E-2</v>
      </c>
      <c r="S2469" s="1">
        <v>0.1333</v>
      </c>
    </row>
    <row r="2470" spans="1:20" x14ac:dyDescent="0.25">
      <c r="A2470" t="s">
        <v>203</v>
      </c>
      <c r="B2470">
        <v>55</v>
      </c>
      <c r="C2470" t="s">
        <v>201</v>
      </c>
      <c r="D2470">
        <v>422</v>
      </c>
      <c r="E2470" s="1">
        <v>0.2339</v>
      </c>
      <c r="F2470" s="1">
        <v>0.1148</v>
      </c>
      <c r="G2470" s="1">
        <v>1.3599999999999999E-2</v>
      </c>
      <c r="H2470" s="1">
        <v>2.3400000000000001E-2</v>
      </c>
      <c r="I2470" s="1">
        <v>0.34620000000000001</v>
      </c>
      <c r="J2470" s="1">
        <v>5.45E-2</v>
      </c>
      <c r="K2470" s="1">
        <v>0.1802</v>
      </c>
      <c r="L2470" s="1">
        <v>5.5999999999999999E-3</v>
      </c>
      <c r="M2470" s="1">
        <v>1.5E-3</v>
      </c>
      <c r="P2470" s="1">
        <v>6.9199999999999998E-2</v>
      </c>
      <c r="Q2470" s="1">
        <v>7.1000000000000004E-3</v>
      </c>
      <c r="R2470" s="1">
        <v>4.6199999999999998E-2</v>
      </c>
      <c r="S2470" s="1">
        <v>0.122</v>
      </c>
    </row>
    <row r="2471" spans="1:20" s="29" customFormat="1" x14ac:dyDescent="0.25">
      <c r="A2471" s="29" t="s">
        <v>203</v>
      </c>
      <c r="B2471" s="29">
        <v>16</v>
      </c>
      <c r="C2471" s="29" t="s">
        <v>202</v>
      </c>
      <c r="D2471" s="29">
        <v>422</v>
      </c>
      <c r="E2471" s="30">
        <v>0.46379999999999999</v>
      </c>
      <c r="F2471" s="30">
        <v>0.26450000000000001</v>
      </c>
      <c r="H2471" s="30">
        <v>0.34420000000000001</v>
      </c>
      <c r="I2471" s="30">
        <v>0.46660000000000001</v>
      </c>
      <c r="J2471" s="30">
        <v>4.02E-2</v>
      </c>
      <c r="M2471" s="30">
        <v>0.1255</v>
      </c>
      <c r="P2471" s="30">
        <v>6.9500000000000006E-2</v>
      </c>
    </row>
    <row r="2472" spans="1:20" x14ac:dyDescent="0.25">
      <c r="A2472" t="s">
        <v>204</v>
      </c>
      <c r="B2472">
        <v>422</v>
      </c>
      <c r="C2472" t="s">
        <v>204</v>
      </c>
      <c r="D2472">
        <v>422</v>
      </c>
      <c r="E2472" s="1">
        <v>0.16070000000000001</v>
      </c>
      <c r="F2472" s="1">
        <v>0.28710000000000002</v>
      </c>
      <c r="G2472" s="1">
        <v>3.0599999999999999E-2</v>
      </c>
      <c r="H2472" s="1">
        <v>0.1109</v>
      </c>
      <c r="I2472" s="1">
        <v>0.34689999999999999</v>
      </c>
      <c r="J2472" s="1">
        <v>5.4000000000000003E-3</v>
      </c>
      <c r="K2472" s="1">
        <v>9.1200000000000003E-2</v>
      </c>
      <c r="L2472" s="1">
        <v>3.8E-3</v>
      </c>
      <c r="M2472" s="1">
        <v>2.92E-2</v>
      </c>
      <c r="N2472" s="1">
        <v>2.75E-2</v>
      </c>
      <c r="O2472" s="1">
        <v>2.1399999999999999E-2</v>
      </c>
      <c r="P2472" s="1">
        <v>4.02E-2</v>
      </c>
      <c r="Q2472" s="1">
        <v>6.1999999999999998E-3</v>
      </c>
      <c r="R2472" s="1">
        <v>2.8899999999999999E-2</v>
      </c>
      <c r="S2472" s="1">
        <v>0.1137</v>
      </c>
    </row>
    <row r="2474" spans="1:20" x14ac:dyDescent="0.25">
      <c r="A2474" t="s">
        <v>739</v>
      </c>
    </row>
    <row r="2475" spans="1:20" x14ac:dyDescent="0.25">
      <c r="A2475" t="s">
        <v>190</v>
      </c>
      <c r="B2475" t="s">
        <v>206</v>
      </c>
      <c r="C2475" t="s">
        <v>195</v>
      </c>
      <c r="D2475" t="s">
        <v>189</v>
      </c>
      <c r="E2475" t="s">
        <v>196</v>
      </c>
      <c r="F2475" t="s">
        <v>726</v>
      </c>
      <c r="G2475" t="s">
        <v>727</v>
      </c>
      <c r="H2475" t="s">
        <v>728</v>
      </c>
      <c r="I2475" t="s">
        <v>729</v>
      </c>
      <c r="J2475" t="s">
        <v>730</v>
      </c>
      <c r="K2475" t="s">
        <v>731</v>
      </c>
      <c r="L2475" t="s">
        <v>732</v>
      </c>
      <c r="M2475" t="s">
        <v>733</v>
      </c>
      <c r="N2475" t="s">
        <v>235</v>
      </c>
      <c r="O2475" t="s">
        <v>215</v>
      </c>
      <c r="P2475" t="s">
        <v>734</v>
      </c>
      <c r="Q2475" t="s">
        <v>735</v>
      </c>
      <c r="R2475" t="s">
        <v>736</v>
      </c>
      <c r="S2475" t="s">
        <v>737</v>
      </c>
      <c r="T2475" t="s">
        <v>738</v>
      </c>
    </row>
    <row r="2476" spans="1:20" s="29" customFormat="1" x14ac:dyDescent="0.25">
      <c r="A2476" s="29" t="s">
        <v>198</v>
      </c>
      <c r="B2476" s="29" t="s">
        <v>228</v>
      </c>
      <c r="C2476" s="29">
        <v>1</v>
      </c>
      <c r="D2476" s="29" t="s">
        <v>197</v>
      </c>
      <c r="E2476" s="29">
        <v>422</v>
      </c>
      <c r="P2476" s="30">
        <v>1</v>
      </c>
    </row>
    <row r="2477" spans="1:20" s="29" customFormat="1" x14ac:dyDescent="0.25">
      <c r="A2477" s="29" t="s">
        <v>198</v>
      </c>
      <c r="B2477" s="29" t="s">
        <v>229</v>
      </c>
      <c r="C2477" s="29">
        <v>10</v>
      </c>
      <c r="D2477" s="29" t="s">
        <v>197</v>
      </c>
      <c r="E2477" s="29">
        <v>422</v>
      </c>
      <c r="F2477" s="30">
        <v>0.22209999999999999</v>
      </c>
      <c r="G2477" s="30">
        <v>0.31209999999999999</v>
      </c>
      <c r="J2477" s="30">
        <v>0.3579</v>
      </c>
      <c r="L2477" s="30">
        <v>8.6599999999999996E-2</v>
      </c>
      <c r="N2477" s="30">
        <v>8.6599999999999996E-2</v>
      </c>
      <c r="O2477" s="30">
        <v>0.1079</v>
      </c>
      <c r="T2477" s="30">
        <v>0.1079</v>
      </c>
    </row>
    <row r="2478" spans="1:20" s="29" customFormat="1" x14ac:dyDescent="0.25">
      <c r="A2478" s="29" t="s">
        <v>198</v>
      </c>
      <c r="B2478" s="29" t="s">
        <v>228</v>
      </c>
      <c r="C2478" s="29">
        <v>25</v>
      </c>
      <c r="D2478" s="29" t="s">
        <v>199</v>
      </c>
      <c r="E2478" s="29">
        <v>422</v>
      </c>
      <c r="F2478" s="30">
        <v>8.9800000000000005E-2</v>
      </c>
      <c r="G2478" s="30">
        <v>0.49740000000000001</v>
      </c>
      <c r="H2478" s="30">
        <v>1.21E-2</v>
      </c>
      <c r="I2478" s="30">
        <v>4.9700000000000001E-2</v>
      </c>
      <c r="J2478" s="30">
        <v>0.12640000000000001</v>
      </c>
      <c r="Q2478" s="30">
        <v>3.4500000000000003E-2</v>
      </c>
      <c r="R2478" s="30">
        <v>1.6899999999999998E-2</v>
      </c>
      <c r="S2478" s="30">
        <v>9.9400000000000002E-2</v>
      </c>
      <c r="T2478" s="30">
        <v>0.2676</v>
      </c>
    </row>
    <row r="2479" spans="1:20" x14ac:dyDescent="0.25">
      <c r="A2479" t="s">
        <v>198</v>
      </c>
      <c r="B2479" t="s">
        <v>229</v>
      </c>
      <c r="C2479">
        <v>35</v>
      </c>
      <c r="D2479" t="s">
        <v>199</v>
      </c>
      <c r="E2479">
        <v>422</v>
      </c>
      <c r="F2479" s="1">
        <v>0.21609999999999999</v>
      </c>
      <c r="G2479" s="1">
        <v>0.28170000000000001</v>
      </c>
      <c r="H2479" s="1">
        <v>3.4799999999999998E-2</v>
      </c>
      <c r="I2479" s="1">
        <v>7.9899999999999999E-2</v>
      </c>
      <c r="J2479" s="1">
        <v>0.46579999999999999</v>
      </c>
      <c r="N2479" s="1">
        <v>7.6200000000000004E-2</v>
      </c>
      <c r="Q2479" s="1">
        <v>2.3099999999999999E-2</v>
      </c>
      <c r="S2479" s="1">
        <v>4.3E-3</v>
      </c>
      <c r="T2479" s="1">
        <v>0.12640000000000001</v>
      </c>
    </row>
    <row r="2480" spans="1:20" x14ac:dyDescent="0.25">
      <c r="A2480" t="s">
        <v>198</v>
      </c>
      <c r="B2480" t="s">
        <v>229</v>
      </c>
      <c r="C2480">
        <v>47</v>
      </c>
      <c r="D2480" t="s">
        <v>200</v>
      </c>
      <c r="E2480">
        <v>422</v>
      </c>
      <c r="F2480" s="1">
        <v>0.14649999999999999</v>
      </c>
      <c r="G2480" s="1">
        <v>0.45269999999999999</v>
      </c>
      <c r="H2480" s="1">
        <v>5.3499999999999999E-2</v>
      </c>
      <c r="I2480" s="1">
        <v>8.4699999999999998E-2</v>
      </c>
      <c r="J2480" s="1">
        <v>0.2681</v>
      </c>
      <c r="L2480" s="1">
        <v>5.28E-2</v>
      </c>
      <c r="P2480" s="1">
        <v>6.7299999999999999E-2</v>
      </c>
      <c r="Q2480" s="1">
        <v>5.4300000000000001E-2</v>
      </c>
      <c r="R2480" s="1">
        <v>1.7500000000000002E-2</v>
      </c>
      <c r="S2480" s="1">
        <v>3.7600000000000001E-2</v>
      </c>
      <c r="T2480" s="1">
        <v>0.13639999999999999</v>
      </c>
    </row>
    <row r="2481" spans="1:20" s="29" customFormat="1" x14ac:dyDescent="0.25">
      <c r="A2481" s="29" t="s">
        <v>198</v>
      </c>
      <c r="B2481" s="29" t="s">
        <v>228</v>
      </c>
      <c r="C2481" s="29">
        <v>16</v>
      </c>
      <c r="D2481" s="29" t="s">
        <v>200</v>
      </c>
      <c r="E2481" s="29">
        <v>422</v>
      </c>
      <c r="F2481" s="30">
        <v>0.51470000000000005</v>
      </c>
      <c r="G2481" s="30">
        <v>0.23519999999999999</v>
      </c>
      <c r="H2481" s="30">
        <v>2.53E-2</v>
      </c>
      <c r="I2481" s="30">
        <v>0.16550000000000001</v>
      </c>
      <c r="J2481" s="30">
        <v>0.17219999999999999</v>
      </c>
      <c r="P2481" s="30">
        <v>0.1454</v>
      </c>
      <c r="Q2481" s="30">
        <v>2.53E-2</v>
      </c>
      <c r="S2481" s="30">
        <v>2.53E-2</v>
      </c>
      <c r="T2481" s="30">
        <v>2.53E-2</v>
      </c>
    </row>
    <row r="2482" spans="1:20" s="29" customFormat="1" x14ac:dyDescent="0.25">
      <c r="A2482" s="29" t="s">
        <v>198</v>
      </c>
      <c r="B2482" s="29" t="s">
        <v>228</v>
      </c>
      <c r="C2482" s="29">
        <v>19</v>
      </c>
      <c r="D2482" s="29" t="s">
        <v>201</v>
      </c>
      <c r="E2482" s="29">
        <v>422</v>
      </c>
      <c r="G2482" s="30">
        <v>0.56499999999999995</v>
      </c>
      <c r="H2482" s="30">
        <v>7.4999999999999997E-3</v>
      </c>
      <c r="I2482" s="30">
        <v>0.34379999999999999</v>
      </c>
      <c r="J2482" s="30">
        <v>0.26640000000000003</v>
      </c>
      <c r="R2482" s="30">
        <v>7.6600000000000001E-2</v>
      </c>
      <c r="T2482" s="30">
        <v>0.18260000000000001</v>
      </c>
    </row>
    <row r="2483" spans="1:20" x14ac:dyDescent="0.25">
      <c r="A2483" t="s">
        <v>198</v>
      </c>
      <c r="B2483" t="s">
        <v>229</v>
      </c>
      <c r="C2483">
        <v>35</v>
      </c>
      <c r="D2483" t="s">
        <v>201</v>
      </c>
      <c r="E2483">
        <v>422</v>
      </c>
      <c r="F2483" s="1">
        <v>6.1699999999999998E-2</v>
      </c>
      <c r="G2483" s="1">
        <v>0.38590000000000002</v>
      </c>
      <c r="H2483" s="1">
        <v>5.11E-2</v>
      </c>
      <c r="I2483" s="1">
        <v>3.5299999999999998E-2</v>
      </c>
      <c r="J2483" s="1">
        <v>0.47289999999999999</v>
      </c>
      <c r="M2483" s="1">
        <v>5.11E-2</v>
      </c>
      <c r="N2483" s="1">
        <v>3.7000000000000002E-3</v>
      </c>
      <c r="Q2483" s="1">
        <v>5.11E-2</v>
      </c>
      <c r="R2483" s="1">
        <v>1.9400000000000001E-2</v>
      </c>
      <c r="S2483" s="1">
        <v>3.7000000000000002E-3</v>
      </c>
      <c r="T2483" s="1">
        <v>0.14460000000000001</v>
      </c>
    </row>
    <row r="2484" spans="1:20" s="29" customFormat="1" x14ac:dyDescent="0.25">
      <c r="A2484" s="29" t="s">
        <v>198</v>
      </c>
      <c r="B2484" s="29" t="s">
        <v>229</v>
      </c>
      <c r="C2484" s="29">
        <v>10</v>
      </c>
      <c r="D2484" s="29" t="s">
        <v>202</v>
      </c>
      <c r="E2484" s="29">
        <v>422</v>
      </c>
      <c r="G2484" s="30">
        <v>0.27300000000000002</v>
      </c>
      <c r="I2484" s="30">
        <v>0.13339999999999999</v>
      </c>
      <c r="J2484" s="30">
        <v>0.55330000000000001</v>
      </c>
      <c r="O2484" s="30">
        <v>0.2082</v>
      </c>
    </row>
    <row r="2485" spans="1:20" s="29" customFormat="1" x14ac:dyDescent="0.25">
      <c r="A2485" s="29" t="s">
        <v>198</v>
      </c>
      <c r="B2485" s="29" t="s">
        <v>228</v>
      </c>
      <c r="C2485" s="29">
        <v>7</v>
      </c>
      <c r="D2485" s="29" t="s">
        <v>202</v>
      </c>
      <c r="E2485" s="29">
        <v>422</v>
      </c>
      <c r="F2485" s="30">
        <v>5.91E-2</v>
      </c>
      <c r="G2485" s="30">
        <v>0.22109999999999999</v>
      </c>
      <c r="H2485" s="30">
        <v>5.91E-2</v>
      </c>
      <c r="J2485" s="30">
        <v>0.18659999999999999</v>
      </c>
      <c r="L2485" s="30">
        <v>5.91E-2</v>
      </c>
      <c r="T2485" s="30">
        <v>0.41489999999999999</v>
      </c>
    </row>
    <row r="2486" spans="1:20" s="29" customFormat="1" x14ac:dyDescent="0.25">
      <c r="A2486" s="29" t="s">
        <v>203</v>
      </c>
      <c r="B2486" s="29" t="s">
        <v>228</v>
      </c>
      <c r="C2486" s="29">
        <v>27</v>
      </c>
      <c r="D2486" s="29" t="s">
        <v>199</v>
      </c>
      <c r="E2486" s="29">
        <v>422</v>
      </c>
      <c r="F2486" s="30">
        <v>0.1283</v>
      </c>
      <c r="G2486" s="30">
        <v>0.63419999999999999</v>
      </c>
      <c r="J2486" s="30">
        <v>0.23480000000000001</v>
      </c>
      <c r="P2486" s="30">
        <v>3.9100000000000003E-2</v>
      </c>
      <c r="R2486" s="30">
        <v>3.9100000000000003E-2</v>
      </c>
      <c r="S2486" s="30">
        <v>8.9099999999999999E-2</v>
      </c>
      <c r="T2486" s="30">
        <v>4.3200000000000002E-2</v>
      </c>
    </row>
    <row r="2487" spans="1:20" x14ac:dyDescent="0.25">
      <c r="A2487" t="s">
        <v>203</v>
      </c>
      <c r="B2487" t="s">
        <v>229</v>
      </c>
      <c r="C2487">
        <v>62</v>
      </c>
      <c r="D2487" t="s">
        <v>199</v>
      </c>
      <c r="E2487">
        <v>422</v>
      </c>
      <c r="F2487" s="1">
        <v>0.1996</v>
      </c>
      <c r="G2487" s="1">
        <v>0.29759999999999998</v>
      </c>
      <c r="H2487" s="1">
        <v>2.3599999999999999E-2</v>
      </c>
      <c r="I2487" s="1">
        <v>0.1124</v>
      </c>
      <c r="J2487" s="1">
        <v>0.38080000000000003</v>
      </c>
      <c r="L2487" s="1">
        <v>0.1353</v>
      </c>
      <c r="O2487" s="1">
        <v>1.17E-2</v>
      </c>
      <c r="Q2487" s="1">
        <v>0.14699999999999999</v>
      </c>
      <c r="S2487" s="1">
        <v>4.7600000000000003E-2</v>
      </c>
      <c r="T2487" s="1">
        <v>7.8700000000000006E-2</v>
      </c>
    </row>
    <row r="2488" spans="1:20" x14ac:dyDescent="0.25">
      <c r="A2488" t="s">
        <v>203</v>
      </c>
      <c r="B2488" t="s">
        <v>229</v>
      </c>
      <c r="C2488">
        <v>41</v>
      </c>
      <c r="D2488" t="s">
        <v>200</v>
      </c>
      <c r="E2488">
        <v>422</v>
      </c>
      <c r="F2488" s="1">
        <v>0.1104</v>
      </c>
      <c r="G2488" s="1">
        <v>0.20599999999999999</v>
      </c>
      <c r="H2488" s="1">
        <v>2.8500000000000001E-2</v>
      </c>
      <c r="I2488" s="1">
        <v>0.15409999999999999</v>
      </c>
      <c r="J2488" s="1">
        <v>0.28660000000000002</v>
      </c>
      <c r="L2488" s="1">
        <v>0.2394</v>
      </c>
      <c r="N2488" s="1">
        <v>2.6700000000000002E-2</v>
      </c>
      <c r="P2488" s="1">
        <v>1.5E-3</v>
      </c>
      <c r="Q2488" s="1">
        <v>1.6E-2</v>
      </c>
      <c r="T2488" s="1">
        <v>0.16239999999999999</v>
      </c>
    </row>
    <row r="2489" spans="1:20" s="29" customFormat="1" x14ac:dyDescent="0.25">
      <c r="A2489" s="29" t="s">
        <v>203</v>
      </c>
      <c r="B2489" s="29" t="s">
        <v>228</v>
      </c>
      <c r="C2489" s="29">
        <v>15</v>
      </c>
      <c r="D2489" s="29" t="s">
        <v>200</v>
      </c>
      <c r="E2489" s="29">
        <v>422</v>
      </c>
      <c r="F2489" s="30">
        <v>4.99E-2</v>
      </c>
      <c r="G2489" s="30">
        <v>3.7000000000000002E-3</v>
      </c>
      <c r="H2489" s="30">
        <v>0.1457</v>
      </c>
      <c r="I2489" s="30">
        <v>0.1431</v>
      </c>
      <c r="J2489" s="30">
        <v>0.25829999999999997</v>
      </c>
      <c r="L2489" s="30">
        <v>0.2155</v>
      </c>
      <c r="N2489" s="30">
        <v>0.1182</v>
      </c>
      <c r="Q2489" s="30">
        <v>3.44E-2</v>
      </c>
      <c r="S2489" s="30">
        <v>0.28620000000000001</v>
      </c>
    </row>
    <row r="2490" spans="1:20" x14ac:dyDescent="0.25">
      <c r="A2490" t="s">
        <v>203</v>
      </c>
      <c r="B2490" t="s">
        <v>228</v>
      </c>
      <c r="C2490">
        <v>34</v>
      </c>
      <c r="D2490" t="s">
        <v>201</v>
      </c>
      <c r="E2490">
        <v>422</v>
      </c>
      <c r="F2490" s="1">
        <v>7.3300000000000004E-2</v>
      </c>
      <c r="G2490" s="1">
        <v>7.3300000000000004E-2</v>
      </c>
      <c r="I2490" s="1">
        <v>3.9399999999999998E-2</v>
      </c>
      <c r="J2490" s="1">
        <v>0.3448</v>
      </c>
      <c r="L2490" s="1">
        <v>0.3997</v>
      </c>
      <c r="M2490" s="1">
        <v>1.24E-2</v>
      </c>
      <c r="N2490" s="1">
        <v>3.3999999999999998E-3</v>
      </c>
      <c r="Q2490" s="1">
        <v>3.2599999999999997E-2</v>
      </c>
      <c r="R2490" s="1">
        <v>1.5800000000000002E-2</v>
      </c>
      <c r="S2490" s="1">
        <v>8.2299999999999998E-2</v>
      </c>
      <c r="T2490" s="1">
        <v>0.1046</v>
      </c>
    </row>
    <row r="2491" spans="1:20" s="29" customFormat="1" x14ac:dyDescent="0.25">
      <c r="A2491" s="29" t="s">
        <v>203</v>
      </c>
      <c r="B2491" s="29" t="s">
        <v>229</v>
      </c>
      <c r="C2491" s="29">
        <v>21</v>
      </c>
      <c r="D2491" s="29" t="s">
        <v>201</v>
      </c>
      <c r="E2491" s="29">
        <v>422</v>
      </c>
      <c r="F2491" s="30">
        <v>0.36580000000000001</v>
      </c>
      <c r="G2491" s="30">
        <v>0.1489</v>
      </c>
      <c r="H2491" s="30">
        <v>2.47E-2</v>
      </c>
      <c r="I2491" s="30">
        <v>1.0200000000000001E-2</v>
      </c>
      <c r="J2491" s="30">
        <v>0.34739999999999999</v>
      </c>
      <c r="K2491" s="30">
        <v>9.9199999999999997E-2</v>
      </c>
      <c r="Q2491" s="30">
        <v>9.9199999999999997E-2</v>
      </c>
      <c r="S2491" s="30">
        <v>1.66E-2</v>
      </c>
      <c r="T2491" s="30">
        <v>0.13619999999999999</v>
      </c>
    </row>
    <row r="2492" spans="1:20" s="29" customFormat="1" x14ac:dyDescent="0.25">
      <c r="A2492" s="29" t="s">
        <v>203</v>
      </c>
      <c r="B2492" s="29" t="s">
        <v>228</v>
      </c>
      <c r="C2492" s="29">
        <v>7</v>
      </c>
      <c r="D2492" s="29" t="s">
        <v>202</v>
      </c>
      <c r="E2492" s="29">
        <v>422</v>
      </c>
      <c r="F2492" s="30">
        <v>0.30320000000000003</v>
      </c>
      <c r="G2492" s="30">
        <v>0.2044</v>
      </c>
      <c r="J2492" s="30">
        <v>0.59130000000000005</v>
      </c>
    </row>
    <row r="2493" spans="1:20" s="29" customFormat="1" x14ac:dyDescent="0.25">
      <c r="A2493" s="29" t="s">
        <v>203</v>
      </c>
      <c r="B2493" s="29" t="s">
        <v>229</v>
      </c>
      <c r="C2493" s="29">
        <v>9</v>
      </c>
      <c r="D2493" s="29" t="s">
        <v>202</v>
      </c>
      <c r="E2493" s="29">
        <v>422</v>
      </c>
      <c r="F2493" s="30">
        <v>0.54669999999999996</v>
      </c>
      <c r="G2493" s="30">
        <v>0.29549999999999998</v>
      </c>
      <c r="I2493" s="30">
        <v>0.52159999999999995</v>
      </c>
      <c r="J2493" s="30">
        <v>0.40239999999999998</v>
      </c>
      <c r="K2493" s="30">
        <v>6.0900000000000003E-2</v>
      </c>
      <c r="N2493" s="30">
        <v>0.19020000000000001</v>
      </c>
      <c r="Q2493" s="30">
        <v>0.10539999999999999</v>
      </c>
    </row>
    <row r="2494" spans="1:20" x14ac:dyDescent="0.25">
      <c r="A2494" t="s">
        <v>204</v>
      </c>
      <c r="B2494" t="s">
        <v>204</v>
      </c>
      <c r="C2494">
        <v>422</v>
      </c>
      <c r="D2494" t="s">
        <v>204</v>
      </c>
      <c r="E2494">
        <v>422</v>
      </c>
      <c r="F2494" s="1">
        <v>0.16070000000000001</v>
      </c>
      <c r="G2494" s="1">
        <v>0.28710000000000002</v>
      </c>
      <c r="H2494" s="1">
        <v>3.0599999999999999E-2</v>
      </c>
      <c r="I2494" s="1">
        <v>0.1109</v>
      </c>
      <c r="J2494" s="1">
        <v>0.34689999999999999</v>
      </c>
      <c r="K2494" s="1">
        <v>5.4000000000000003E-3</v>
      </c>
      <c r="L2494" s="1">
        <v>9.1200000000000003E-2</v>
      </c>
      <c r="M2494" s="1">
        <v>3.8E-3</v>
      </c>
      <c r="N2494" s="1">
        <v>2.92E-2</v>
      </c>
      <c r="O2494" s="1">
        <v>2.75E-2</v>
      </c>
      <c r="P2494" s="1">
        <v>2.1399999999999999E-2</v>
      </c>
      <c r="Q2494" s="1">
        <v>4.02E-2</v>
      </c>
      <c r="R2494" s="1">
        <v>6.1999999999999998E-3</v>
      </c>
      <c r="S2494" s="1">
        <v>2.8899999999999999E-2</v>
      </c>
      <c r="T2494" s="1">
        <v>0.1137</v>
      </c>
    </row>
    <row r="2496" spans="1:20" x14ac:dyDescent="0.25">
      <c r="A2496" t="s">
        <v>740</v>
      </c>
    </row>
    <row r="2497" spans="1:20" x14ac:dyDescent="0.25">
      <c r="A2497" t="s">
        <v>190</v>
      </c>
      <c r="B2497" t="s">
        <v>195</v>
      </c>
      <c r="C2497" t="s">
        <v>189</v>
      </c>
      <c r="D2497" t="s">
        <v>196</v>
      </c>
      <c r="E2497" t="s">
        <v>741</v>
      </c>
      <c r="F2497" t="s">
        <v>742</v>
      </c>
      <c r="G2497" t="s">
        <v>743</v>
      </c>
      <c r="H2497" t="s">
        <v>220</v>
      </c>
      <c r="I2497" t="s">
        <v>744</v>
      </c>
      <c r="J2497" t="s">
        <v>745</v>
      </c>
      <c r="K2497" t="s">
        <v>746</v>
      </c>
      <c r="L2497" t="s">
        <v>747</v>
      </c>
      <c r="M2497" t="s">
        <v>748</v>
      </c>
      <c r="N2497" t="s">
        <v>749</v>
      </c>
      <c r="O2497" t="s">
        <v>750</v>
      </c>
      <c r="P2497" t="s">
        <v>271</v>
      </c>
      <c r="Q2497" t="s">
        <v>235</v>
      </c>
      <c r="R2497" t="s">
        <v>751</v>
      </c>
      <c r="S2497" t="s">
        <v>215</v>
      </c>
      <c r="T2497" t="s">
        <v>752</v>
      </c>
    </row>
    <row r="2498" spans="1:20" x14ac:dyDescent="0.25">
      <c r="A2498" t="s">
        <v>198</v>
      </c>
      <c r="B2498">
        <v>82</v>
      </c>
      <c r="C2498" t="s">
        <v>197</v>
      </c>
      <c r="D2498">
        <v>2606</v>
      </c>
      <c r="F2498" s="1">
        <v>1.8499999999999999E-2</v>
      </c>
      <c r="G2498" s="1">
        <v>4.8099999999999997E-2</v>
      </c>
      <c r="J2498" s="1">
        <v>3.1800000000000002E-2</v>
      </c>
      <c r="K2498" s="1">
        <v>2.0799999999999999E-2</v>
      </c>
      <c r="N2498" s="1">
        <v>0.1232</v>
      </c>
      <c r="O2498" s="1">
        <v>1.0999999999999999E-2</v>
      </c>
      <c r="P2498" s="1">
        <v>0.79690000000000005</v>
      </c>
      <c r="Q2498" s="1">
        <v>1.0999999999999999E-2</v>
      </c>
      <c r="T2498" s="1">
        <v>5.04E-2</v>
      </c>
    </row>
    <row r="2499" spans="1:20" x14ac:dyDescent="0.25">
      <c r="A2499" t="s">
        <v>198</v>
      </c>
      <c r="B2499">
        <v>363</v>
      </c>
      <c r="C2499" t="s">
        <v>199</v>
      </c>
      <c r="D2499">
        <v>2606</v>
      </c>
      <c r="E2499" s="1">
        <v>1.7299999999999999E-2</v>
      </c>
      <c r="F2499" s="1">
        <v>7.7999999999999996E-3</v>
      </c>
      <c r="G2499" s="1">
        <v>3.4099999999999998E-2</v>
      </c>
      <c r="H2499" s="1">
        <v>6.4000000000000003E-3</v>
      </c>
      <c r="I2499" s="1">
        <v>1.5E-3</v>
      </c>
      <c r="J2499" s="1">
        <v>6.8400000000000002E-2</v>
      </c>
      <c r="K2499" s="1">
        <v>6.1600000000000002E-2</v>
      </c>
      <c r="M2499" s="1">
        <v>2.9999999999999997E-4</v>
      </c>
      <c r="N2499" s="1">
        <v>4.65E-2</v>
      </c>
      <c r="O2499" s="1">
        <v>4.3E-3</v>
      </c>
      <c r="P2499" s="1">
        <v>0.82889999999999997</v>
      </c>
      <c r="Q2499" s="1">
        <v>1.7299999999999999E-2</v>
      </c>
      <c r="T2499" s="1">
        <v>6.4999999999999997E-3</v>
      </c>
    </row>
    <row r="2500" spans="1:20" x14ac:dyDescent="0.25">
      <c r="A2500" t="s">
        <v>198</v>
      </c>
      <c r="B2500">
        <v>381</v>
      </c>
      <c r="C2500" t="s">
        <v>200</v>
      </c>
      <c r="D2500">
        <v>2606</v>
      </c>
      <c r="E2500" s="1">
        <v>3.2000000000000002E-3</v>
      </c>
      <c r="F2500" s="1">
        <v>7.4000000000000003E-3</v>
      </c>
      <c r="G2500" s="1">
        <v>2.0799999999999999E-2</v>
      </c>
      <c r="H2500" s="1">
        <v>2.8999999999999998E-3</v>
      </c>
      <c r="I2500" s="1">
        <v>6.9999999999999999E-4</v>
      </c>
      <c r="J2500" s="1">
        <v>3.5000000000000003E-2</v>
      </c>
      <c r="K2500" s="1">
        <v>3.9600000000000003E-2</v>
      </c>
      <c r="N2500" s="1">
        <v>2.9899999999999999E-2</v>
      </c>
      <c r="O2500" s="1">
        <v>4.7000000000000002E-3</v>
      </c>
      <c r="P2500" s="1">
        <v>0.90469999999999995</v>
      </c>
      <c r="Q2500" s="1">
        <v>7.9000000000000008E-3</v>
      </c>
      <c r="T2500" s="1">
        <v>4.1000000000000003E-3</v>
      </c>
    </row>
    <row r="2501" spans="1:20" x14ac:dyDescent="0.25">
      <c r="A2501" t="s">
        <v>198</v>
      </c>
      <c r="B2501">
        <v>251</v>
      </c>
      <c r="C2501" t="s">
        <v>201</v>
      </c>
      <c r="D2501">
        <v>2606</v>
      </c>
      <c r="F2501" s="1">
        <v>2.3699999999999999E-2</v>
      </c>
      <c r="G2501" s="1">
        <v>4.9099999999999998E-2</v>
      </c>
      <c r="I2501" s="1">
        <v>3.0000000000000001E-3</v>
      </c>
      <c r="J2501" s="1">
        <v>4.7399999999999998E-2</v>
      </c>
      <c r="K2501" s="1">
        <v>6.6299999999999998E-2</v>
      </c>
      <c r="L2501" s="1">
        <v>9.5999999999999992E-3</v>
      </c>
      <c r="M2501" s="1">
        <v>4.8999999999999998E-3</v>
      </c>
      <c r="N2501" s="1">
        <v>3.0099999999999998E-2</v>
      </c>
      <c r="O2501" s="1">
        <v>3.0000000000000001E-3</v>
      </c>
      <c r="P2501" s="1">
        <v>0.84919999999999995</v>
      </c>
      <c r="Q2501" s="1">
        <v>9.9000000000000008E-3</v>
      </c>
      <c r="T2501" s="1">
        <v>7.3000000000000001E-3</v>
      </c>
    </row>
    <row r="2502" spans="1:20" x14ac:dyDescent="0.25">
      <c r="A2502" t="s">
        <v>198</v>
      </c>
      <c r="B2502">
        <v>96</v>
      </c>
      <c r="C2502" t="s">
        <v>202</v>
      </c>
      <c r="D2502">
        <v>2606</v>
      </c>
      <c r="E2502" s="1">
        <v>9.4999999999999998E-3</v>
      </c>
      <c r="F2502" s="1">
        <v>5.1000000000000004E-3</v>
      </c>
      <c r="G2502" s="1">
        <v>2.7799999999999998E-2</v>
      </c>
      <c r="I2502" s="1">
        <v>7.0900000000000005E-2</v>
      </c>
      <c r="J2502" s="1">
        <v>1.5299999999999999E-2</v>
      </c>
      <c r="K2502" s="1">
        <v>1.5299999999999999E-2</v>
      </c>
      <c r="N2502" s="1">
        <v>4.65E-2</v>
      </c>
      <c r="O2502" s="1">
        <v>1.5299999999999999E-2</v>
      </c>
      <c r="P2502" s="1">
        <v>0.79210000000000003</v>
      </c>
      <c r="S2502" s="1">
        <v>2.52E-2</v>
      </c>
      <c r="T2502" s="1">
        <v>2.3300000000000001E-2</v>
      </c>
    </row>
    <row r="2503" spans="1:20" x14ac:dyDescent="0.25">
      <c r="A2503" t="s">
        <v>203</v>
      </c>
      <c r="B2503">
        <v>526</v>
      </c>
      <c r="C2503" t="s">
        <v>199</v>
      </c>
      <c r="D2503">
        <v>2606</v>
      </c>
      <c r="E2503" s="1">
        <v>1.5599999999999999E-2</v>
      </c>
      <c r="F2503" s="1">
        <v>1.54E-2</v>
      </c>
      <c r="G2503" s="1">
        <v>4.4000000000000003E-3</v>
      </c>
      <c r="I2503" s="1">
        <v>9.1000000000000004E-3</v>
      </c>
      <c r="J2503" s="1">
        <v>0.1183</v>
      </c>
      <c r="K2503" s="1">
        <v>9.8500000000000004E-2</v>
      </c>
      <c r="L2503" s="1">
        <v>4.8999999999999998E-3</v>
      </c>
      <c r="M2503" s="1">
        <v>3.2099999999999997E-2</v>
      </c>
      <c r="N2503" s="1">
        <v>3.6700000000000003E-2</v>
      </c>
      <c r="O2503" s="1">
        <v>0.01</v>
      </c>
      <c r="P2503" s="1">
        <v>0.79120000000000001</v>
      </c>
      <c r="Q2503" s="1">
        <v>1.14E-2</v>
      </c>
      <c r="R2503" s="1">
        <v>5.0000000000000001E-4</v>
      </c>
      <c r="T2503" s="1">
        <v>6.1999999999999998E-3</v>
      </c>
    </row>
    <row r="2504" spans="1:20" x14ac:dyDescent="0.25">
      <c r="A2504" t="s">
        <v>203</v>
      </c>
      <c r="B2504">
        <v>497</v>
      </c>
      <c r="C2504" t="s">
        <v>200</v>
      </c>
      <c r="D2504">
        <v>2606</v>
      </c>
      <c r="E2504" s="1">
        <v>1E-4</v>
      </c>
      <c r="F2504" s="1">
        <v>3.8E-3</v>
      </c>
      <c r="G2504" s="1">
        <v>1.9800000000000002E-2</v>
      </c>
      <c r="I2504" s="1">
        <v>2E-3</v>
      </c>
      <c r="J2504" s="1">
        <v>1.6999999999999999E-3</v>
      </c>
      <c r="K2504" s="1">
        <v>3.8999999999999998E-3</v>
      </c>
      <c r="M2504" s="1">
        <v>1.8E-3</v>
      </c>
      <c r="N2504" s="1">
        <v>2.98E-2</v>
      </c>
      <c r="O2504" s="1">
        <v>4.8999999999999998E-3</v>
      </c>
      <c r="P2504" s="1">
        <v>0.92559999999999998</v>
      </c>
      <c r="Q2504" s="1">
        <v>1.46E-2</v>
      </c>
      <c r="T2504" s="1">
        <v>6.6E-3</v>
      </c>
    </row>
    <row r="2505" spans="1:20" x14ac:dyDescent="0.25">
      <c r="A2505" t="s">
        <v>203</v>
      </c>
      <c r="B2505">
        <v>320</v>
      </c>
      <c r="C2505" t="s">
        <v>201</v>
      </c>
      <c r="D2505">
        <v>2606</v>
      </c>
      <c r="E2505" s="1">
        <v>1.66E-2</v>
      </c>
      <c r="F2505" s="1">
        <v>1.5299999999999999E-2</v>
      </c>
      <c r="G2505" s="1">
        <v>6.1999999999999998E-3</v>
      </c>
      <c r="H2505" s="1">
        <v>1.1999999999999999E-3</v>
      </c>
      <c r="J2505" s="1">
        <v>2.2800000000000001E-2</v>
      </c>
      <c r="K2505" s="1">
        <v>7.3300000000000004E-2</v>
      </c>
      <c r="M2505" s="1">
        <v>2.5000000000000001E-2</v>
      </c>
      <c r="N2505" s="1">
        <v>3.9399999999999998E-2</v>
      </c>
      <c r="O2505" s="1">
        <v>2.7300000000000001E-2</v>
      </c>
      <c r="P2505" s="1">
        <v>0.82450000000000001</v>
      </c>
      <c r="Q2505" s="1">
        <v>1.1999999999999999E-3</v>
      </c>
      <c r="T2505" s="1">
        <v>1.09E-2</v>
      </c>
    </row>
    <row r="2506" spans="1:20" x14ac:dyDescent="0.25">
      <c r="A2506" t="s">
        <v>203</v>
      </c>
      <c r="B2506">
        <v>90</v>
      </c>
      <c r="C2506" t="s">
        <v>202</v>
      </c>
      <c r="D2506">
        <v>2606</v>
      </c>
      <c r="F2506" s="1">
        <v>1.7500000000000002E-2</v>
      </c>
      <c r="G2506" s="1">
        <v>2.87E-2</v>
      </c>
      <c r="I2506" s="1">
        <v>4.8999999999999998E-3</v>
      </c>
      <c r="M2506" s="1">
        <v>1.35E-2</v>
      </c>
      <c r="N2506" s="1">
        <v>4.2999999999999997E-2</v>
      </c>
      <c r="O2506" s="1">
        <v>4.8999999999999998E-3</v>
      </c>
      <c r="P2506" s="1">
        <v>0.88700000000000001</v>
      </c>
      <c r="Q2506" s="1">
        <v>2.0500000000000001E-2</v>
      </c>
    </row>
    <row r="2507" spans="1:20" x14ac:dyDescent="0.25">
      <c r="A2507" t="s">
        <v>204</v>
      </c>
      <c r="B2507">
        <v>2606</v>
      </c>
      <c r="C2507" t="s">
        <v>204</v>
      </c>
      <c r="D2507">
        <v>2606</v>
      </c>
      <c r="E2507" s="1">
        <v>6.4999999999999997E-3</v>
      </c>
      <c r="F2507" s="1">
        <v>9.5999999999999992E-3</v>
      </c>
      <c r="G2507" s="1">
        <v>2.3400000000000001E-2</v>
      </c>
      <c r="H2507" s="1">
        <v>1.1999999999999999E-3</v>
      </c>
      <c r="I2507" s="1">
        <v>9.1999999999999998E-3</v>
      </c>
      <c r="J2507" s="1">
        <v>3.5900000000000001E-2</v>
      </c>
      <c r="K2507" s="1">
        <v>3.6600000000000001E-2</v>
      </c>
      <c r="L2507" s="1">
        <v>1.1000000000000001E-3</v>
      </c>
      <c r="M2507" s="1">
        <v>7.0000000000000001E-3</v>
      </c>
      <c r="N2507" s="1">
        <v>4.1799999999999997E-2</v>
      </c>
      <c r="O2507" s="1">
        <v>8.0000000000000002E-3</v>
      </c>
      <c r="P2507" s="1">
        <v>0.86109999999999998</v>
      </c>
      <c r="Q2507" s="1">
        <v>1.14E-2</v>
      </c>
      <c r="R2507" s="1">
        <v>1E-4</v>
      </c>
      <c r="S2507" s="1">
        <v>2.3999999999999998E-3</v>
      </c>
      <c r="T2507" s="1">
        <v>1.06E-2</v>
      </c>
    </row>
    <row r="2509" spans="1:20" x14ac:dyDescent="0.25">
      <c r="A2509" t="s">
        <v>753</v>
      </c>
    </row>
    <row r="2510" spans="1:20" x14ac:dyDescent="0.25">
      <c r="A2510" t="s">
        <v>189</v>
      </c>
      <c r="B2510" t="s">
        <v>190</v>
      </c>
      <c r="C2510" t="s">
        <v>754</v>
      </c>
      <c r="D2510" t="s">
        <v>755</v>
      </c>
      <c r="E2510" t="s">
        <v>756</v>
      </c>
      <c r="F2510" t="s">
        <v>757</v>
      </c>
      <c r="G2510" t="s">
        <v>758</v>
      </c>
      <c r="H2510" t="s">
        <v>759</v>
      </c>
      <c r="I2510" t="s">
        <v>760</v>
      </c>
      <c r="J2510" t="s">
        <v>761</v>
      </c>
      <c r="K2510" t="s">
        <v>762</v>
      </c>
      <c r="L2510" t="s">
        <v>763</v>
      </c>
      <c r="M2510" t="s">
        <v>764</v>
      </c>
      <c r="N2510" t="s">
        <v>765</v>
      </c>
      <c r="O2510" t="s">
        <v>195</v>
      </c>
      <c r="P2510" t="s">
        <v>196</v>
      </c>
    </row>
    <row r="2511" spans="1:20" x14ac:dyDescent="0.25">
      <c r="A2511" t="s">
        <v>197</v>
      </c>
      <c r="B2511" t="s">
        <v>198</v>
      </c>
      <c r="C2511" t="s">
        <v>766</v>
      </c>
      <c r="D2511" s="1">
        <v>2.4799999999999999E-2</v>
      </c>
      <c r="E2511" s="1">
        <v>0.1411</v>
      </c>
      <c r="F2511" s="1">
        <v>7.4999999999999997E-3</v>
      </c>
      <c r="G2511" s="1">
        <v>2.87E-2</v>
      </c>
      <c r="K2511" s="1">
        <v>4.5600000000000002E-2</v>
      </c>
      <c r="L2511" s="1">
        <v>7.4999999999999997E-3</v>
      </c>
      <c r="N2511">
        <v>169</v>
      </c>
      <c r="O2511">
        <v>82</v>
      </c>
      <c r="P2511">
        <v>2633</v>
      </c>
    </row>
    <row r="2512" spans="1:20" x14ac:dyDescent="0.25">
      <c r="A2512" t="s">
        <v>197</v>
      </c>
      <c r="B2512" t="s">
        <v>198</v>
      </c>
      <c r="C2512" t="s">
        <v>767</v>
      </c>
      <c r="D2512" s="1">
        <v>0.76229999999999998</v>
      </c>
      <c r="E2512" s="1">
        <v>0.27500000000000002</v>
      </c>
      <c r="F2512" s="1">
        <v>0.84619999999999995</v>
      </c>
      <c r="G2512" s="1">
        <v>0.65680000000000005</v>
      </c>
      <c r="H2512" s="1">
        <v>0.66200000000000003</v>
      </c>
      <c r="I2512" s="1">
        <v>0.59060000000000001</v>
      </c>
      <c r="J2512" s="1">
        <v>0.749</v>
      </c>
      <c r="K2512" s="1">
        <v>0.71799999999999997</v>
      </c>
      <c r="L2512" s="1">
        <v>0.86509999999999998</v>
      </c>
      <c r="M2512" s="1">
        <v>0.97130000000000005</v>
      </c>
      <c r="N2512">
        <v>169</v>
      </c>
      <c r="O2512">
        <v>82</v>
      </c>
      <c r="P2512">
        <v>2633</v>
      </c>
    </row>
    <row r="2513" spans="1:16" x14ac:dyDescent="0.25">
      <c r="A2513" t="s">
        <v>197</v>
      </c>
      <c r="B2513" t="s">
        <v>198</v>
      </c>
      <c r="C2513" t="s">
        <v>768</v>
      </c>
      <c r="D2513" s="1">
        <v>0.1338</v>
      </c>
      <c r="E2513" s="1">
        <v>0.2258</v>
      </c>
      <c r="F2513" s="1">
        <v>2.87E-2</v>
      </c>
      <c r="G2513" s="1">
        <v>0.15</v>
      </c>
      <c r="H2513" s="1">
        <v>0.29870000000000002</v>
      </c>
      <c r="I2513" s="1">
        <v>3.5799999999999998E-2</v>
      </c>
      <c r="J2513" s="1">
        <v>0.1943</v>
      </c>
      <c r="K2513" s="1">
        <v>0.23649999999999999</v>
      </c>
      <c r="L2513" s="1">
        <v>0.1026</v>
      </c>
      <c r="M2513" s="1">
        <v>1.4999999999999999E-2</v>
      </c>
      <c r="N2513">
        <v>169</v>
      </c>
      <c r="O2513">
        <v>82</v>
      </c>
      <c r="P2513">
        <v>2633</v>
      </c>
    </row>
    <row r="2514" spans="1:16" x14ac:dyDescent="0.25">
      <c r="A2514" t="s">
        <v>197</v>
      </c>
      <c r="B2514" t="s">
        <v>198</v>
      </c>
      <c r="C2514" t="s">
        <v>208</v>
      </c>
      <c r="D2514" s="1">
        <v>7.9100000000000004E-2</v>
      </c>
      <c r="E2514" s="1">
        <v>0.35799999999999998</v>
      </c>
      <c r="F2514" s="1">
        <v>0.1176</v>
      </c>
      <c r="G2514" s="1">
        <v>0.16439999999999999</v>
      </c>
      <c r="H2514" s="1">
        <v>3.9300000000000002E-2</v>
      </c>
      <c r="I2514" s="1">
        <v>0.37359999999999999</v>
      </c>
      <c r="J2514" s="1">
        <v>5.6599999999999998E-2</v>
      </c>
      <c r="L2514" s="1">
        <v>2.4799999999999999E-2</v>
      </c>
      <c r="M2514" s="1">
        <v>1.38E-2</v>
      </c>
      <c r="N2514">
        <v>169</v>
      </c>
      <c r="O2514">
        <v>82</v>
      </c>
      <c r="P2514">
        <v>2633</v>
      </c>
    </row>
    <row r="2515" spans="1:16" x14ac:dyDescent="0.25">
      <c r="A2515" t="s">
        <v>199</v>
      </c>
      <c r="B2515" t="s">
        <v>198</v>
      </c>
      <c r="C2515" t="s">
        <v>766</v>
      </c>
      <c r="D2515" s="1">
        <v>3.8E-3</v>
      </c>
      <c r="E2515" s="1">
        <v>8.8900000000000007E-2</v>
      </c>
      <c r="F2515" s="1">
        <v>4.4000000000000003E-3</v>
      </c>
      <c r="G2515" s="1">
        <v>7.0000000000000001E-3</v>
      </c>
      <c r="H2515" s="1">
        <v>1.49E-2</v>
      </c>
      <c r="I2515" s="1">
        <v>4.4000000000000003E-3</v>
      </c>
      <c r="J2515" s="1">
        <v>2E-3</v>
      </c>
      <c r="L2515" s="1">
        <v>1.5E-3</v>
      </c>
      <c r="N2515">
        <v>326</v>
      </c>
      <c r="O2515">
        <v>368</v>
      </c>
      <c r="P2515">
        <v>2633</v>
      </c>
    </row>
    <row r="2516" spans="1:16" x14ac:dyDescent="0.25">
      <c r="A2516" t="s">
        <v>199</v>
      </c>
      <c r="B2516" t="s">
        <v>198</v>
      </c>
      <c r="C2516" t="s">
        <v>767</v>
      </c>
      <c r="D2516" s="1">
        <v>0.76319999999999999</v>
      </c>
      <c r="E2516" s="1">
        <v>0.39800000000000002</v>
      </c>
      <c r="F2516" s="1">
        <v>0.8659</v>
      </c>
      <c r="G2516" s="1">
        <v>0.69879999999999998</v>
      </c>
      <c r="H2516" s="1">
        <v>0.66759999999999997</v>
      </c>
      <c r="I2516" s="1">
        <v>0.68630000000000002</v>
      </c>
      <c r="J2516" s="1">
        <v>0.68759999999999999</v>
      </c>
      <c r="K2516" s="1">
        <v>0.58720000000000006</v>
      </c>
      <c r="L2516" s="1">
        <v>0.87570000000000003</v>
      </c>
      <c r="M2516" s="1">
        <v>0.98</v>
      </c>
      <c r="N2516">
        <v>326</v>
      </c>
      <c r="O2516">
        <v>368</v>
      </c>
      <c r="P2516">
        <v>2633</v>
      </c>
    </row>
    <row r="2517" spans="1:16" x14ac:dyDescent="0.25">
      <c r="A2517" t="s">
        <v>199</v>
      </c>
      <c r="B2517" t="s">
        <v>198</v>
      </c>
      <c r="C2517" t="s">
        <v>768</v>
      </c>
      <c r="D2517" s="1">
        <v>0.19289999999999999</v>
      </c>
      <c r="E2517" s="1">
        <v>0.15379999999999999</v>
      </c>
      <c r="F2517" s="1">
        <v>3.5000000000000001E-3</v>
      </c>
      <c r="G2517" s="1">
        <v>8.1500000000000003E-2</v>
      </c>
      <c r="H2517" s="1">
        <v>0.31590000000000001</v>
      </c>
      <c r="I2517" s="1">
        <v>6.6E-3</v>
      </c>
      <c r="J2517" s="1">
        <v>0.27139999999999997</v>
      </c>
      <c r="K2517" s="1">
        <v>0.4128</v>
      </c>
      <c r="L2517" s="1">
        <v>7.7600000000000002E-2</v>
      </c>
      <c r="M2517" s="1">
        <v>1.2200000000000001E-2</v>
      </c>
      <c r="N2517">
        <v>326</v>
      </c>
      <c r="O2517">
        <v>368</v>
      </c>
      <c r="P2517">
        <v>2633</v>
      </c>
    </row>
    <row r="2518" spans="1:16" x14ac:dyDescent="0.25">
      <c r="A2518" t="s">
        <v>199</v>
      </c>
      <c r="B2518" t="s">
        <v>198</v>
      </c>
      <c r="C2518" t="s">
        <v>208</v>
      </c>
      <c r="D2518" s="1">
        <v>4.0099999999999997E-2</v>
      </c>
      <c r="E2518" s="1">
        <v>0.35930000000000001</v>
      </c>
      <c r="F2518" s="1">
        <v>0.12620000000000001</v>
      </c>
      <c r="G2518" s="1">
        <v>0.21260000000000001</v>
      </c>
      <c r="H2518" s="1">
        <v>1.6000000000000001E-3</v>
      </c>
      <c r="I2518" s="1">
        <v>0.30270000000000002</v>
      </c>
      <c r="J2518" s="1">
        <v>3.9E-2</v>
      </c>
      <c r="L2518" s="1">
        <v>4.5199999999999997E-2</v>
      </c>
      <c r="M2518" s="1">
        <v>7.7999999999999996E-3</v>
      </c>
      <c r="N2518">
        <v>326</v>
      </c>
      <c r="O2518">
        <v>368</v>
      </c>
      <c r="P2518">
        <v>2633</v>
      </c>
    </row>
    <row r="2519" spans="1:16" x14ac:dyDescent="0.25">
      <c r="A2519" t="s">
        <v>200</v>
      </c>
      <c r="B2519" t="s">
        <v>198</v>
      </c>
      <c r="C2519" t="s">
        <v>766</v>
      </c>
      <c r="D2519" s="1">
        <v>1.7399999999999999E-2</v>
      </c>
      <c r="E2519" s="1">
        <v>7.1900000000000006E-2</v>
      </c>
      <c r="F2519" s="1">
        <v>4.5999999999999999E-3</v>
      </c>
      <c r="G2519" s="1">
        <v>3.2000000000000002E-3</v>
      </c>
      <c r="H2519" s="1">
        <v>1.72E-2</v>
      </c>
      <c r="I2519" s="1">
        <v>2.3E-3</v>
      </c>
      <c r="J2519" s="1">
        <v>1.6999999999999999E-3</v>
      </c>
      <c r="K2519" s="1">
        <v>1E-4</v>
      </c>
      <c r="N2519">
        <v>326</v>
      </c>
      <c r="O2519">
        <v>387</v>
      </c>
      <c r="P2519">
        <v>2633</v>
      </c>
    </row>
    <row r="2520" spans="1:16" x14ac:dyDescent="0.25">
      <c r="A2520" t="s">
        <v>200</v>
      </c>
      <c r="B2520" t="s">
        <v>198</v>
      </c>
      <c r="C2520" t="s">
        <v>767</v>
      </c>
      <c r="D2520" s="1">
        <v>0.745</v>
      </c>
      <c r="E2520" s="1">
        <v>0.31630000000000003</v>
      </c>
      <c r="F2520" s="1">
        <v>0.86129999999999995</v>
      </c>
      <c r="G2520" s="1">
        <v>0.68669999999999998</v>
      </c>
      <c r="H2520" s="1">
        <v>0.73540000000000005</v>
      </c>
      <c r="I2520" s="1">
        <v>0.64049999999999996</v>
      </c>
      <c r="J2520" s="1">
        <v>0.7994</v>
      </c>
      <c r="K2520" s="1">
        <v>0.71689999999999998</v>
      </c>
      <c r="L2520" s="1">
        <v>0.88539999999999996</v>
      </c>
      <c r="M2520" s="1">
        <v>0.9385</v>
      </c>
      <c r="N2520">
        <v>326</v>
      </c>
      <c r="O2520">
        <v>387</v>
      </c>
      <c r="P2520">
        <v>2633</v>
      </c>
    </row>
    <row r="2521" spans="1:16" x14ac:dyDescent="0.25">
      <c r="A2521" t="s">
        <v>200</v>
      </c>
      <c r="B2521" t="s">
        <v>198</v>
      </c>
      <c r="C2521" t="s">
        <v>768</v>
      </c>
      <c r="D2521" s="1">
        <v>0.18809999999999999</v>
      </c>
      <c r="E2521" s="1">
        <v>0.1313</v>
      </c>
      <c r="F2521" s="1">
        <v>2.5499999999999998E-2</v>
      </c>
      <c r="G2521" s="1">
        <v>7.7100000000000002E-2</v>
      </c>
      <c r="H2521" s="1">
        <v>0.21870000000000001</v>
      </c>
      <c r="I2521" s="1">
        <v>3.7400000000000003E-2</v>
      </c>
      <c r="J2521" s="1">
        <v>0.14299999999999999</v>
      </c>
      <c r="K2521" s="1">
        <v>0.27310000000000001</v>
      </c>
      <c r="L2521" s="1">
        <v>6.5000000000000002E-2</v>
      </c>
      <c r="M2521" s="1">
        <v>4.7199999999999999E-2</v>
      </c>
      <c r="N2521">
        <v>326</v>
      </c>
      <c r="O2521">
        <v>387</v>
      </c>
      <c r="P2521">
        <v>2633</v>
      </c>
    </row>
    <row r="2522" spans="1:16" x14ac:dyDescent="0.25">
      <c r="A2522" t="s">
        <v>200</v>
      </c>
      <c r="B2522" t="s">
        <v>198</v>
      </c>
      <c r="C2522" t="s">
        <v>208</v>
      </c>
      <c r="D2522" s="1">
        <v>4.9500000000000002E-2</v>
      </c>
      <c r="E2522" s="1">
        <v>0.48049999999999998</v>
      </c>
      <c r="F2522" s="1">
        <v>0.1086</v>
      </c>
      <c r="G2522" s="1">
        <v>0.23300000000000001</v>
      </c>
      <c r="H2522" s="1">
        <v>2.87E-2</v>
      </c>
      <c r="I2522" s="1">
        <v>0.31979999999999997</v>
      </c>
      <c r="J2522" s="1">
        <v>5.5899999999999998E-2</v>
      </c>
      <c r="K2522" s="1">
        <v>9.9000000000000008E-3</v>
      </c>
      <c r="L2522" s="1">
        <v>4.9599999999999998E-2</v>
      </c>
      <c r="M2522" s="1">
        <v>1.43E-2</v>
      </c>
      <c r="N2522">
        <v>326</v>
      </c>
      <c r="O2522">
        <v>387</v>
      </c>
      <c r="P2522">
        <v>2633</v>
      </c>
    </row>
    <row r="2523" spans="1:16" x14ac:dyDescent="0.25">
      <c r="A2523" t="s">
        <v>201</v>
      </c>
      <c r="B2523" t="s">
        <v>198</v>
      </c>
      <c r="C2523" t="s">
        <v>766</v>
      </c>
      <c r="D2523" s="1">
        <v>3.8699999999999998E-2</v>
      </c>
      <c r="E2523" s="1">
        <v>0.1288</v>
      </c>
      <c r="F2523" s="1">
        <v>8.0000000000000002E-3</v>
      </c>
      <c r="G2523" s="1">
        <v>2.0999999999999999E-3</v>
      </c>
      <c r="H2523" s="1">
        <v>2.7699999999999999E-2</v>
      </c>
      <c r="I2523" s="1">
        <v>5.1000000000000004E-3</v>
      </c>
      <c r="J2523" s="1">
        <v>4.4999999999999997E-3</v>
      </c>
      <c r="K2523" s="1">
        <v>1.77E-2</v>
      </c>
      <c r="N2523">
        <v>121</v>
      </c>
      <c r="O2523">
        <v>256</v>
      </c>
      <c r="P2523">
        <v>2633</v>
      </c>
    </row>
    <row r="2524" spans="1:16" x14ac:dyDescent="0.25">
      <c r="A2524" t="s">
        <v>201</v>
      </c>
      <c r="B2524" t="s">
        <v>198</v>
      </c>
      <c r="C2524" t="s">
        <v>767</v>
      </c>
      <c r="D2524" s="1">
        <v>0.77410000000000001</v>
      </c>
      <c r="E2524" s="1">
        <v>0.22239999999999999</v>
      </c>
      <c r="F2524" s="1">
        <v>0.83160000000000001</v>
      </c>
      <c r="G2524" s="1">
        <v>0.57899999999999996</v>
      </c>
      <c r="H2524" s="1">
        <v>0.72119999999999995</v>
      </c>
      <c r="I2524" s="1">
        <v>0.55510000000000004</v>
      </c>
      <c r="J2524" s="1">
        <v>0.73970000000000002</v>
      </c>
      <c r="K2524" s="1">
        <v>0.70709999999999995</v>
      </c>
      <c r="L2524" s="1">
        <v>0.88759999999999994</v>
      </c>
      <c r="M2524" s="1">
        <v>0.94499999999999995</v>
      </c>
      <c r="N2524">
        <v>121</v>
      </c>
      <c r="O2524">
        <v>256</v>
      </c>
      <c r="P2524">
        <v>2633</v>
      </c>
    </row>
    <row r="2525" spans="1:16" x14ac:dyDescent="0.25">
      <c r="A2525" t="s">
        <v>201</v>
      </c>
      <c r="B2525" t="s">
        <v>198</v>
      </c>
      <c r="C2525" t="s">
        <v>768</v>
      </c>
      <c r="D2525" s="1">
        <v>0.12570000000000001</v>
      </c>
      <c r="E2525" s="1">
        <v>0.16520000000000001</v>
      </c>
      <c r="F2525" s="1">
        <v>1.8200000000000001E-2</v>
      </c>
      <c r="G2525" s="1">
        <v>8.9499999999999996E-2</v>
      </c>
      <c r="H2525" s="1">
        <v>0.22470000000000001</v>
      </c>
      <c r="I2525" s="1">
        <v>7.0000000000000001E-3</v>
      </c>
      <c r="J2525" s="1">
        <v>0.15959999999999999</v>
      </c>
      <c r="K2525" s="1">
        <v>0.2752</v>
      </c>
      <c r="L2525" s="1">
        <v>4.9500000000000002E-2</v>
      </c>
      <c r="M2525" s="1">
        <v>2.9899999999999999E-2</v>
      </c>
      <c r="N2525">
        <v>121</v>
      </c>
      <c r="O2525">
        <v>256</v>
      </c>
      <c r="P2525">
        <v>2633</v>
      </c>
    </row>
    <row r="2526" spans="1:16" x14ac:dyDescent="0.25">
      <c r="A2526" t="s">
        <v>201</v>
      </c>
      <c r="B2526" t="s">
        <v>198</v>
      </c>
      <c r="C2526" t="s">
        <v>208</v>
      </c>
      <c r="D2526" s="1">
        <v>6.1499999999999999E-2</v>
      </c>
      <c r="E2526" s="1">
        <v>0.48359999999999997</v>
      </c>
      <c r="F2526" s="1">
        <v>0.14219999999999999</v>
      </c>
      <c r="G2526" s="1">
        <v>0.32940000000000003</v>
      </c>
      <c r="H2526" s="1">
        <v>2.64E-2</v>
      </c>
      <c r="I2526" s="1">
        <v>0.43280000000000002</v>
      </c>
      <c r="J2526" s="1">
        <v>9.6299999999999997E-2</v>
      </c>
      <c r="L2526" s="1">
        <v>6.3E-2</v>
      </c>
      <c r="M2526" s="1">
        <v>2.5100000000000001E-2</v>
      </c>
      <c r="N2526">
        <v>121</v>
      </c>
      <c r="O2526">
        <v>256</v>
      </c>
      <c r="P2526">
        <v>2633</v>
      </c>
    </row>
    <row r="2527" spans="1:16" x14ac:dyDescent="0.25">
      <c r="A2527" t="s">
        <v>202</v>
      </c>
      <c r="B2527" t="s">
        <v>198</v>
      </c>
      <c r="C2527" t="s">
        <v>766</v>
      </c>
      <c r="D2527" s="1">
        <v>1.5299999999999999E-2</v>
      </c>
      <c r="E2527" s="1">
        <v>0.1875</v>
      </c>
      <c r="F2527" s="1">
        <v>1.8599999999999998E-2</v>
      </c>
      <c r="H2527" s="1">
        <v>8.0000000000000002E-3</v>
      </c>
      <c r="K2527" s="1">
        <v>8.0000000000000002E-3</v>
      </c>
      <c r="N2527">
        <v>247</v>
      </c>
      <c r="O2527">
        <v>96</v>
      </c>
      <c r="P2527">
        <v>2633</v>
      </c>
    </row>
    <row r="2528" spans="1:16" x14ac:dyDescent="0.25">
      <c r="A2528" t="s">
        <v>202</v>
      </c>
      <c r="B2528" t="s">
        <v>198</v>
      </c>
      <c r="C2528" t="s">
        <v>767</v>
      </c>
      <c r="D2528" s="1">
        <v>0.70069999999999999</v>
      </c>
      <c r="E2528" s="1">
        <v>0.34260000000000002</v>
      </c>
      <c r="F2528" s="1">
        <v>0.85419999999999996</v>
      </c>
      <c r="G2528" s="1">
        <v>0.59360000000000002</v>
      </c>
      <c r="H2528" s="1">
        <v>0.70809999999999995</v>
      </c>
      <c r="I2528" s="1">
        <v>0.628</v>
      </c>
      <c r="J2528" s="1">
        <v>0.86650000000000005</v>
      </c>
      <c r="K2528" s="1">
        <v>0.67989999999999995</v>
      </c>
      <c r="L2528" s="1">
        <v>0.88029999999999997</v>
      </c>
      <c r="M2528" s="1">
        <v>0.98540000000000005</v>
      </c>
      <c r="N2528">
        <v>247</v>
      </c>
      <c r="O2528">
        <v>96</v>
      </c>
      <c r="P2528">
        <v>2633</v>
      </c>
    </row>
    <row r="2529" spans="1:16" x14ac:dyDescent="0.25">
      <c r="A2529" t="s">
        <v>202</v>
      </c>
      <c r="B2529" t="s">
        <v>198</v>
      </c>
      <c r="C2529" t="s">
        <v>768</v>
      </c>
      <c r="D2529" s="1">
        <v>0.24149999999999999</v>
      </c>
      <c r="E2529" s="1">
        <v>8.0799999999999997E-2</v>
      </c>
      <c r="F2529" s="1">
        <v>8.0000000000000002E-3</v>
      </c>
      <c r="G2529" s="1">
        <v>0.1071</v>
      </c>
      <c r="H2529" s="1">
        <v>0.25609999999999999</v>
      </c>
      <c r="J2529" s="1">
        <v>4.7199999999999999E-2</v>
      </c>
      <c r="K2529" s="1">
        <v>0.31209999999999999</v>
      </c>
      <c r="L2529" s="1">
        <v>5.6899999999999999E-2</v>
      </c>
      <c r="M2529" s="1">
        <v>2.5000000000000001E-3</v>
      </c>
      <c r="N2529">
        <v>247</v>
      </c>
      <c r="O2529">
        <v>96</v>
      </c>
      <c r="P2529">
        <v>2633</v>
      </c>
    </row>
    <row r="2530" spans="1:16" x14ac:dyDescent="0.25">
      <c r="A2530" t="s">
        <v>202</v>
      </c>
      <c r="B2530" t="s">
        <v>198</v>
      </c>
      <c r="C2530" t="s">
        <v>208</v>
      </c>
      <c r="D2530" s="1">
        <v>4.2599999999999999E-2</v>
      </c>
      <c r="E2530" s="1">
        <v>0.38900000000000001</v>
      </c>
      <c r="F2530" s="1">
        <v>0.1193</v>
      </c>
      <c r="G2530" s="1">
        <v>0.2994</v>
      </c>
      <c r="H2530" s="1">
        <v>2.7799999999999998E-2</v>
      </c>
      <c r="I2530" s="1">
        <v>0.372</v>
      </c>
      <c r="J2530" s="1">
        <v>8.6400000000000005E-2</v>
      </c>
      <c r="L2530" s="1">
        <v>6.2799999999999995E-2</v>
      </c>
      <c r="M2530" s="1">
        <v>1.2E-2</v>
      </c>
      <c r="N2530">
        <v>247</v>
      </c>
      <c r="O2530">
        <v>96</v>
      </c>
      <c r="P2530">
        <v>2633</v>
      </c>
    </row>
    <row r="2531" spans="1:16" x14ac:dyDescent="0.25">
      <c r="A2531" t="s">
        <v>199</v>
      </c>
      <c r="B2531" t="s">
        <v>203</v>
      </c>
      <c r="C2531" t="s">
        <v>766</v>
      </c>
      <c r="D2531" s="1">
        <v>4.1999999999999997E-3</v>
      </c>
      <c r="E2531" s="1">
        <v>3.1600000000000003E-2</v>
      </c>
      <c r="G2531" s="1">
        <v>5.9999999999999995E-4</v>
      </c>
      <c r="H2531" s="1">
        <v>8.0999999999999996E-3</v>
      </c>
      <c r="I2531" s="1">
        <v>6.4000000000000003E-3</v>
      </c>
      <c r="J2531" s="1">
        <v>1.6000000000000001E-3</v>
      </c>
      <c r="K2531" s="1">
        <v>5.1999999999999998E-3</v>
      </c>
      <c r="L2531" s="1">
        <v>5.9999999999999995E-4</v>
      </c>
      <c r="N2531">
        <v>340</v>
      </c>
      <c r="O2531">
        <v>530</v>
      </c>
      <c r="P2531">
        <v>2633</v>
      </c>
    </row>
    <row r="2532" spans="1:16" x14ac:dyDescent="0.25">
      <c r="A2532" t="s">
        <v>199</v>
      </c>
      <c r="B2532" t="s">
        <v>203</v>
      </c>
      <c r="C2532" t="s">
        <v>767</v>
      </c>
      <c r="D2532" s="1">
        <v>0.93</v>
      </c>
      <c r="E2532" s="1">
        <v>0.4778</v>
      </c>
      <c r="F2532" s="1">
        <v>0.91790000000000005</v>
      </c>
      <c r="G2532" s="1">
        <v>0.68899999999999995</v>
      </c>
      <c r="H2532" s="1">
        <v>0.85570000000000002</v>
      </c>
      <c r="I2532" s="1">
        <v>0.76819999999999999</v>
      </c>
      <c r="J2532" s="1">
        <v>0.74780000000000002</v>
      </c>
      <c r="K2532" s="1">
        <v>0.94799999999999995</v>
      </c>
      <c r="L2532" s="1">
        <v>0.94930000000000003</v>
      </c>
      <c r="M2532" s="1">
        <v>0.99260000000000004</v>
      </c>
      <c r="N2532">
        <v>340</v>
      </c>
      <c r="O2532">
        <v>530</v>
      </c>
      <c r="P2532">
        <v>2633</v>
      </c>
    </row>
    <row r="2533" spans="1:16" x14ac:dyDescent="0.25">
      <c r="A2533" t="s">
        <v>199</v>
      </c>
      <c r="B2533" t="s">
        <v>203</v>
      </c>
      <c r="C2533" t="s">
        <v>768</v>
      </c>
      <c r="D2533" s="1">
        <v>3.0099999999999998E-2</v>
      </c>
      <c r="E2533" s="1">
        <v>6.9500000000000006E-2</v>
      </c>
      <c r="F2533" s="1">
        <v>3.2000000000000002E-3</v>
      </c>
      <c r="G2533" s="1">
        <v>7.4099999999999999E-2</v>
      </c>
      <c r="H2533" s="1">
        <v>0.1017</v>
      </c>
      <c r="I2533" s="1">
        <v>6.4000000000000003E-3</v>
      </c>
      <c r="J2533" s="1">
        <v>0.21590000000000001</v>
      </c>
      <c r="K2533" s="1">
        <v>4.5699999999999998E-2</v>
      </c>
      <c r="L2533" s="1">
        <v>2.75E-2</v>
      </c>
      <c r="M2533" s="1">
        <v>5.3E-3</v>
      </c>
      <c r="N2533">
        <v>340</v>
      </c>
      <c r="O2533">
        <v>530</v>
      </c>
      <c r="P2533">
        <v>2633</v>
      </c>
    </row>
    <row r="2534" spans="1:16" x14ac:dyDescent="0.25">
      <c r="A2534" t="s">
        <v>199</v>
      </c>
      <c r="B2534" t="s">
        <v>203</v>
      </c>
      <c r="C2534" t="s">
        <v>208</v>
      </c>
      <c r="D2534" s="1">
        <v>3.5700000000000003E-2</v>
      </c>
      <c r="E2534" s="1">
        <v>0.42120000000000002</v>
      </c>
      <c r="F2534" s="1">
        <v>7.8799999999999995E-2</v>
      </c>
      <c r="G2534" s="1">
        <v>0.23630000000000001</v>
      </c>
      <c r="H2534" s="1">
        <v>3.4500000000000003E-2</v>
      </c>
      <c r="I2534" s="1">
        <v>0.219</v>
      </c>
      <c r="J2534" s="1">
        <v>3.4599999999999999E-2</v>
      </c>
      <c r="K2534" s="1">
        <v>1.1000000000000001E-3</v>
      </c>
      <c r="L2534" s="1">
        <v>2.2599999999999999E-2</v>
      </c>
      <c r="M2534" s="1">
        <v>2.0999999999999999E-3</v>
      </c>
      <c r="N2534">
        <v>340</v>
      </c>
      <c r="O2534">
        <v>530</v>
      </c>
      <c r="P2534">
        <v>2633</v>
      </c>
    </row>
    <row r="2535" spans="1:16" x14ac:dyDescent="0.25">
      <c r="A2535" t="s">
        <v>200</v>
      </c>
      <c r="B2535" t="s">
        <v>203</v>
      </c>
      <c r="C2535" t="s">
        <v>766</v>
      </c>
      <c r="D2535" s="1">
        <v>7.7999999999999996E-3</v>
      </c>
      <c r="E2535" s="1">
        <v>3.4200000000000001E-2</v>
      </c>
      <c r="F2535" s="1">
        <v>5.0000000000000001E-4</v>
      </c>
      <c r="G2535" s="1">
        <v>4.8999999999999998E-3</v>
      </c>
      <c r="H2535" s="1">
        <v>4.1000000000000003E-3</v>
      </c>
      <c r="I2535" s="1">
        <v>1.01E-2</v>
      </c>
      <c r="K2535" s="1">
        <v>1E-4</v>
      </c>
      <c r="M2535" s="1">
        <v>4.0000000000000002E-4</v>
      </c>
      <c r="N2535">
        <v>797</v>
      </c>
      <c r="O2535">
        <v>503</v>
      </c>
      <c r="P2535">
        <v>2633</v>
      </c>
    </row>
    <row r="2536" spans="1:16" x14ac:dyDescent="0.25">
      <c r="A2536" t="s">
        <v>200</v>
      </c>
      <c r="B2536" t="s">
        <v>203</v>
      </c>
      <c r="C2536" t="s">
        <v>767</v>
      </c>
      <c r="D2536" s="1">
        <v>0.93540000000000001</v>
      </c>
      <c r="E2536" s="1">
        <v>0.69289999999999996</v>
      </c>
      <c r="F2536" s="1">
        <v>0.94699999999999995</v>
      </c>
      <c r="G2536" s="1">
        <v>0.76429999999999998</v>
      </c>
      <c r="H2536" s="1">
        <v>0.83420000000000005</v>
      </c>
      <c r="I2536" s="1">
        <v>0.85709999999999997</v>
      </c>
      <c r="J2536" s="1">
        <v>0.80659999999999998</v>
      </c>
      <c r="K2536" s="1">
        <v>0.84430000000000005</v>
      </c>
      <c r="L2536" s="1">
        <v>0.94730000000000003</v>
      </c>
      <c r="M2536" s="1">
        <v>0.95420000000000005</v>
      </c>
      <c r="N2536">
        <v>797</v>
      </c>
      <c r="O2536">
        <v>503</v>
      </c>
      <c r="P2536">
        <v>2633</v>
      </c>
    </row>
    <row r="2537" spans="1:16" x14ac:dyDescent="0.25">
      <c r="A2537" t="s">
        <v>200</v>
      </c>
      <c r="B2537" t="s">
        <v>203</v>
      </c>
      <c r="C2537" t="s">
        <v>768</v>
      </c>
      <c r="D2537" s="1">
        <v>3.9600000000000003E-2</v>
      </c>
      <c r="E2537" s="1">
        <v>9.8900000000000002E-2</v>
      </c>
      <c r="F2537" s="1">
        <v>2.0199999999999999E-2</v>
      </c>
      <c r="G2537" s="1">
        <v>8.5900000000000004E-2</v>
      </c>
      <c r="H2537" s="1">
        <v>0.15340000000000001</v>
      </c>
      <c r="I2537" s="1">
        <v>3.3300000000000003E-2</v>
      </c>
      <c r="J2537" s="1">
        <v>0.17610000000000001</v>
      </c>
      <c r="K2537" s="1">
        <v>0.14219999999999999</v>
      </c>
      <c r="L2537" s="1">
        <v>4.3700000000000003E-2</v>
      </c>
      <c r="M2537" s="1">
        <v>4.3799999999999999E-2</v>
      </c>
      <c r="N2537">
        <v>797</v>
      </c>
      <c r="O2537">
        <v>503</v>
      </c>
      <c r="P2537">
        <v>2633</v>
      </c>
    </row>
    <row r="2538" spans="1:16" x14ac:dyDescent="0.25">
      <c r="A2538" t="s">
        <v>200</v>
      </c>
      <c r="B2538" t="s">
        <v>203</v>
      </c>
      <c r="C2538" t="s">
        <v>208</v>
      </c>
      <c r="D2538" s="1">
        <v>1.7100000000000001E-2</v>
      </c>
      <c r="E2538" s="1">
        <v>0.17399999999999999</v>
      </c>
      <c r="F2538" s="1">
        <v>3.2199999999999999E-2</v>
      </c>
      <c r="G2538" s="1">
        <v>0.1449</v>
      </c>
      <c r="H2538" s="1">
        <v>8.3000000000000001E-3</v>
      </c>
      <c r="I2538" s="1">
        <v>9.9500000000000005E-2</v>
      </c>
      <c r="J2538" s="1">
        <v>1.7399999999999999E-2</v>
      </c>
      <c r="K2538" s="1">
        <v>1.3299999999999999E-2</v>
      </c>
      <c r="L2538" s="1">
        <v>8.9999999999999993E-3</v>
      </c>
      <c r="M2538" s="1">
        <v>1.6000000000000001E-3</v>
      </c>
      <c r="N2538">
        <v>797</v>
      </c>
      <c r="O2538">
        <v>503</v>
      </c>
      <c r="P2538">
        <v>2633</v>
      </c>
    </row>
    <row r="2539" spans="1:16" x14ac:dyDescent="0.25">
      <c r="A2539" t="s">
        <v>201</v>
      </c>
      <c r="B2539" t="s">
        <v>203</v>
      </c>
      <c r="C2539" t="s">
        <v>766</v>
      </c>
      <c r="D2539" s="1">
        <v>1.04E-2</v>
      </c>
      <c r="E2539" s="1">
        <v>3.8100000000000002E-2</v>
      </c>
      <c r="F2539" s="1">
        <v>1.5E-3</v>
      </c>
      <c r="G2539" s="1">
        <v>5.6599999999999998E-2</v>
      </c>
      <c r="H2539" s="1">
        <v>1.9599999999999999E-2</v>
      </c>
      <c r="I2539" s="1">
        <v>2.24E-2</v>
      </c>
      <c r="J2539" s="1">
        <v>3.0000000000000001E-3</v>
      </c>
      <c r="K2539" s="1">
        <v>1.8200000000000001E-2</v>
      </c>
      <c r="N2539">
        <v>140</v>
      </c>
      <c r="O2539">
        <v>321</v>
      </c>
      <c r="P2539">
        <v>2633</v>
      </c>
    </row>
    <row r="2540" spans="1:16" x14ac:dyDescent="0.25">
      <c r="A2540" t="s">
        <v>201</v>
      </c>
      <c r="B2540" t="s">
        <v>203</v>
      </c>
      <c r="C2540" t="s">
        <v>767</v>
      </c>
      <c r="D2540" s="1">
        <v>0.91590000000000005</v>
      </c>
      <c r="E2540" s="1">
        <v>0.58499999999999996</v>
      </c>
      <c r="F2540" s="1">
        <v>0.92330000000000001</v>
      </c>
      <c r="G2540" s="1">
        <v>0.76459999999999995</v>
      </c>
      <c r="H2540" s="1">
        <v>0.91279999999999994</v>
      </c>
      <c r="I2540" s="1">
        <v>0.8115</v>
      </c>
      <c r="J2540" s="1">
        <v>0.77270000000000005</v>
      </c>
      <c r="K2540" s="1">
        <v>0.93210000000000004</v>
      </c>
      <c r="L2540" s="1">
        <v>0.95409999999999995</v>
      </c>
      <c r="M2540" s="1">
        <v>0.95699999999999996</v>
      </c>
      <c r="N2540">
        <v>140</v>
      </c>
      <c r="O2540">
        <v>321</v>
      </c>
      <c r="P2540">
        <v>2633</v>
      </c>
    </row>
    <row r="2541" spans="1:16" x14ac:dyDescent="0.25">
      <c r="A2541" t="s">
        <v>201</v>
      </c>
      <c r="B2541" t="s">
        <v>203</v>
      </c>
      <c r="C2541" t="s">
        <v>768</v>
      </c>
      <c r="D2541" s="1">
        <v>3.4700000000000002E-2</v>
      </c>
      <c r="E2541" s="1">
        <v>5.67E-2</v>
      </c>
      <c r="F2541" s="1">
        <v>1.55E-2</v>
      </c>
      <c r="G2541" s="1">
        <v>3.4599999999999999E-2</v>
      </c>
      <c r="H2541" s="1">
        <v>4.2500000000000003E-2</v>
      </c>
      <c r="I2541" s="1">
        <v>6.7000000000000002E-3</v>
      </c>
      <c r="J2541" s="1">
        <v>0.1953</v>
      </c>
      <c r="K2541" s="1">
        <v>4.9799999999999997E-2</v>
      </c>
      <c r="L2541" s="1">
        <v>2.5100000000000001E-2</v>
      </c>
      <c r="M2541" s="1">
        <v>3.1800000000000002E-2</v>
      </c>
      <c r="N2541">
        <v>140</v>
      </c>
      <c r="O2541">
        <v>321</v>
      </c>
      <c r="P2541">
        <v>2633</v>
      </c>
    </row>
    <row r="2542" spans="1:16" x14ac:dyDescent="0.25">
      <c r="A2542" t="s">
        <v>201</v>
      </c>
      <c r="B2542" t="s">
        <v>203</v>
      </c>
      <c r="C2542" t="s">
        <v>208</v>
      </c>
      <c r="D2542" s="1">
        <v>3.9E-2</v>
      </c>
      <c r="E2542" s="1">
        <v>0.3201</v>
      </c>
      <c r="F2542" s="1">
        <v>5.9799999999999999E-2</v>
      </c>
      <c r="G2542" s="1">
        <v>0.14430000000000001</v>
      </c>
      <c r="H2542" s="1">
        <v>2.5100000000000001E-2</v>
      </c>
      <c r="I2542" s="1">
        <v>0.15939999999999999</v>
      </c>
      <c r="J2542" s="1">
        <v>2.9000000000000001E-2</v>
      </c>
      <c r="L2542" s="1">
        <v>2.0799999999999999E-2</v>
      </c>
      <c r="M2542" s="1">
        <v>1.12E-2</v>
      </c>
      <c r="N2542">
        <v>140</v>
      </c>
      <c r="O2542">
        <v>321</v>
      </c>
      <c r="P2542">
        <v>2633</v>
      </c>
    </row>
    <row r="2543" spans="1:16" x14ac:dyDescent="0.25">
      <c r="A2543" t="s">
        <v>202</v>
      </c>
      <c r="B2543" t="s">
        <v>203</v>
      </c>
      <c r="C2543" t="s">
        <v>767</v>
      </c>
      <c r="D2543" s="1">
        <v>0.97629999999999995</v>
      </c>
      <c r="E2543" s="1">
        <v>0.71350000000000002</v>
      </c>
      <c r="F2543" s="1">
        <v>0.98380000000000001</v>
      </c>
      <c r="G2543" s="1">
        <v>0.83089999999999997</v>
      </c>
      <c r="H2543" s="1">
        <v>0.91649999999999998</v>
      </c>
      <c r="I2543" s="1">
        <v>0.8337</v>
      </c>
      <c r="J2543" s="1">
        <v>0.90369999999999995</v>
      </c>
      <c r="K2543" s="1">
        <v>0.95069999999999999</v>
      </c>
      <c r="L2543" s="1">
        <v>0.94420000000000004</v>
      </c>
      <c r="M2543" s="1">
        <v>0.97519999999999996</v>
      </c>
      <c r="N2543">
        <v>131</v>
      </c>
      <c r="O2543">
        <v>90</v>
      </c>
      <c r="P2543">
        <v>2633</v>
      </c>
    </row>
    <row r="2544" spans="1:16" x14ac:dyDescent="0.25">
      <c r="A2544" t="s">
        <v>202</v>
      </c>
      <c r="B2544" t="s">
        <v>203</v>
      </c>
      <c r="C2544" t="s">
        <v>768</v>
      </c>
      <c r="D2544" s="1">
        <v>1.0200000000000001E-2</v>
      </c>
      <c r="E2544" s="1">
        <v>4.5999999999999999E-2</v>
      </c>
      <c r="G2544" s="1">
        <v>3.5200000000000002E-2</v>
      </c>
      <c r="H2544" s="1">
        <v>5.5399999999999998E-2</v>
      </c>
      <c r="I2544" s="1">
        <v>1.0200000000000001E-2</v>
      </c>
      <c r="J2544" s="1">
        <v>7.2099999999999997E-2</v>
      </c>
      <c r="K2544" s="1">
        <v>4.9299999999999997E-2</v>
      </c>
      <c r="L2544" s="1">
        <v>5.8999999999999999E-3</v>
      </c>
      <c r="M2544" s="1">
        <v>5.8999999999999999E-3</v>
      </c>
      <c r="N2544">
        <v>131</v>
      </c>
      <c r="O2544">
        <v>90</v>
      </c>
      <c r="P2544">
        <v>2633</v>
      </c>
    </row>
    <row r="2545" spans="1:17" x14ac:dyDescent="0.25">
      <c r="A2545" t="s">
        <v>202</v>
      </c>
      <c r="B2545" t="s">
        <v>203</v>
      </c>
      <c r="C2545" t="s">
        <v>208</v>
      </c>
      <c r="D2545" s="1">
        <v>1.35E-2</v>
      </c>
      <c r="E2545" s="1">
        <v>0.24049999999999999</v>
      </c>
      <c r="F2545" s="1">
        <v>1.6199999999999999E-2</v>
      </c>
      <c r="G2545" s="1">
        <v>0.13389999999999999</v>
      </c>
      <c r="H2545" s="1">
        <v>2.2200000000000001E-2</v>
      </c>
      <c r="I2545" s="1">
        <v>0.156</v>
      </c>
      <c r="J2545" s="1">
        <v>1.83E-2</v>
      </c>
      <c r="L2545" s="1">
        <v>4.3900000000000002E-2</v>
      </c>
      <c r="M2545" s="1">
        <v>1.52E-2</v>
      </c>
      <c r="N2545">
        <v>131</v>
      </c>
      <c r="O2545">
        <v>90</v>
      </c>
      <c r="P2545">
        <v>2633</v>
      </c>
    </row>
    <row r="2546" spans="1:17" x14ac:dyDescent="0.25">
      <c r="A2546" t="s">
        <v>204</v>
      </c>
      <c r="B2546" t="s">
        <v>204</v>
      </c>
      <c r="C2546" t="s">
        <v>766</v>
      </c>
      <c r="D2546" s="1">
        <v>1.0999999999999999E-2</v>
      </c>
      <c r="E2546" s="1">
        <v>6.9900000000000004E-2</v>
      </c>
      <c r="F2546" s="1">
        <v>4.0000000000000001E-3</v>
      </c>
      <c r="G2546" s="1">
        <v>7.9000000000000008E-3</v>
      </c>
      <c r="H2546" s="1">
        <v>9.7999999999999997E-3</v>
      </c>
      <c r="I2546" s="1">
        <v>6.1999999999999998E-3</v>
      </c>
      <c r="J2546" s="1">
        <v>1.2999999999999999E-3</v>
      </c>
      <c r="K2546" s="1">
        <v>6.3E-3</v>
      </c>
      <c r="L2546" s="1">
        <v>1E-3</v>
      </c>
      <c r="M2546" s="1">
        <v>2.9999999999999997E-4</v>
      </c>
      <c r="N2546">
        <v>2633</v>
      </c>
      <c r="O2546">
        <v>2633</v>
      </c>
      <c r="P2546">
        <v>2633</v>
      </c>
    </row>
    <row r="2547" spans="1:17" x14ac:dyDescent="0.25">
      <c r="A2547" t="s">
        <v>204</v>
      </c>
      <c r="B2547" t="s">
        <v>204</v>
      </c>
      <c r="C2547" t="s">
        <v>767</v>
      </c>
      <c r="D2547" s="1">
        <v>0.84909999999999997</v>
      </c>
      <c r="E2547" s="1">
        <v>0.49330000000000002</v>
      </c>
      <c r="F2547" s="1">
        <v>0.90210000000000001</v>
      </c>
      <c r="G2547" s="1">
        <v>0.70899999999999996</v>
      </c>
      <c r="H2547" s="1">
        <v>0.78359999999999996</v>
      </c>
      <c r="I2547" s="1">
        <v>0.74</v>
      </c>
      <c r="J2547" s="1">
        <v>0.78490000000000004</v>
      </c>
      <c r="K2547" s="1">
        <v>0.78949999999999998</v>
      </c>
      <c r="L2547" s="1">
        <v>0.91649999999999998</v>
      </c>
      <c r="M2547" s="1">
        <v>0.96540000000000004</v>
      </c>
      <c r="N2547">
        <v>2633</v>
      </c>
      <c r="O2547">
        <v>2633</v>
      </c>
      <c r="P2547">
        <v>2633</v>
      </c>
    </row>
    <row r="2548" spans="1:17" x14ac:dyDescent="0.25">
      <c r="A2548" t="s">
        <v>204</v>
      </c>
      <c r="B2548" t="s">
        <v>204</v>
      </c>
      <c r="C2548" t="s">
        <v>768</v>
      </c>
      <c r="D2548" s="1">
        <v>0.1038</v>
      </c>
      <c r="E2548" s="1">
        <v>0.11070000000000001</v>
      </c>
      <c r="F2548" s="1">
        <v>1.46E-2</v>
      </c>
      <c r="G2548" s="1">
        <v>8.3500000000000005E-2</v>
      </c>
      <c r="H2548" s="1">
        <v>0.18679999999999999</v>
      </c>
      <c r="I2548" s="1">
        <v>2.01E-2</v>
      </c>
      <c r="J2548" s="1">
        <v>0.1731</v>
      </c>
      <c r="K2548" s="1">
        <v>0.1988</v>
      </c>
      <c r="L2548" s="1">
        <v>5.0999999999999997E-2</v>
      </c>
      <c r="M2548" s="1">
        <v>2.6200000000000001E-2</v>
      </c>
      <c r="N2548">
        <v>2633</v>
      </c>
      <c r="O2548">
        <v>2633</v>
      </c>
      <c r="P2548">
        <v>2633</v>
      </c>
    </row>
    <row r="2549" spans="1:17" x14ac:dyDescent="0.25">
      <c r="A2549" t="s">
        <v>204</v>
      </c>
      <c r="B2549" t="s">
        <v>204</v>
      </c>
      <c r="C2549" t="s">
        <v>208</v>
      </c>
      <c r="D2549" s="1">
        <v>3.5999999999999997E-2</v>
      </c>
      <c r="E2549" s="1">
        <v>0.3261</v>
      </c>
      <c r="F2549" s="1">
        <v>7.9299999999999995E-2</v>
      </c>
      <c r="G2549" s="1">
        <v>0.1996</v>
      </c>
      <c r="H2549" s="1">
        <v>1.9800000000000002E-2</v>
      </c>
      <c r="I2549" s="1">
        <v>0.23369999999999999</v>
      </c>
      <c r="J2549" s="1">
        <v>4.0599999999999997E-2</v>
      </c>
      <c r="K2549" s="1">
        <v>5.4999999999999997E-3</v>
      </c>
      <c r="L2549" s="1">
        <v>3.15E-2</v>
      </c>
      <c r="M2549" s="1">
        <v>8.0999999999999996E-3</v>
      </c>
      <c r="N2549">
        <v>2633</v>
      </c>
      <c r="O2549">
        <v>2633</v>
      </c>
      <c r="P2549">
        <v>2633</v>
      </c>
    </row>
    <row r="2551" spans="1:17" x14ac:dyDescent="0.25">
      <c r="A2551" t="s">
        <v>769</v>
      </c>
    </row>
    <row r="2552" spans="1:17" x14ac:dyDescent="0.25">
      <c r="A2552" t="s">
        <v>189</v>
      </c>
      <c r="B2552" t="s">
        <v>190</v>
      </c>
      <c r="C2552" t="s">
        <v>206</v>
      </c>
      <c r="D2552" t="s">
        <v>754</v>
      </c>
      <c r="E2552" t="s">
        <v>755</v>
      </c>
      <c r="F2552" t="s">
        <v>756</v>
      </c>
      <c r="G2552" t="s">
        <v>757</v>
      </c>
      <c r="H2552" t="s">
        <v>758</v>
      </c>
      <c r="I2552" t="s">
        <v>759</v>
      </c>
      <c r="J2552" t="s">
        <v>760</v>
      </c>
      <c r="K2552" t="s">
        <v>761</v>
      </c>
      <c r="L2552" t="s">
        <v>762</v>
      </c>
      <c r="M2552" t="s">
        <v>763</v>
      </c>
      <c r="N2552" t="s">
        <v>764</v>
      </c>
      <c r="O2552" t="s">
        <v>765</v>
      </c>
      <c r="P2552" t="s">
        <v>195</v>
      </c>
      <c r="Q2552" t="s">
        <v>196</v>
      </c>
    </row>
    <row r="2553" spans="1:17" x14ac:dyDescent="0.25">
      <c r="A2553" t="s">
        <v>197</v>
      </c>
      <c r="B2553" t="s">
        <v>198</v>
      </c>
      <c r="C2553" t="s">
        <v>228</v>
      </c>
      <c r="D2553" t="s">
        <v>767</v>
      </c>
      <c r="E2553" s="1">
        <v>0.86609999999999998</v>
      </c>
      <c r="F2553" s="1">
        <v>0.40629999999999999</v>
      </c>
      <c r="G2553" s="1">
        <v>0.85980000000000001</v>
      </c>
      <c r="H2553" s="1">
        <v>0.76249999999999996</v>
      </c>
      <c r="I2553" s="1">
        <v>0.80669999999999997</v>
      </c>
      <c r="J2553" s="1">
        <v>0.61780000000000002</v>
      </c>
      <c r="K2553" s="1">
        <v>0.74419999999999997</v>
      </c>
      <c r="L2553" s="1">
        <v>0.87519999999999998</v>
      </c>
      <c r="M2553" s="1">
        <v>0.92630000000000001</v>
      </c>
      <c r="N2553" s="1">
        <v>1</v>
      </c>
      <c r="O2553">
        <v>73</v>
      </c>
      <c r="P2553">
        <v>33</v>
      </c>
      <c r="Q2553">
        <v>2633</v>
      </c>
    </row>
    <row r="2554" spans="1:17" x14ac:dyDescent="0.25">
      <c r="A2554" t="s">
        <v>197</v>
      </c>
      <c r="B2554" t="s">
        <v>198</v>
      </c>
      <c r="C2554" t="s">
        <v>228</v>
      </c>
      <c r="D2554" t="s">
        <v>768</v>
      </c>
      <c r="E2554" s="1">
        <v>6.8400000000000002E-2</v>
      </c>
      <c r="F2554" s="1">
        <v>0.24759999999999999</v>
      </c>
      <c r="H2554" s="1">
        <v>8.1900000000000001E-2</v>
      </c>
      <c r="I2554" s="1">
        <v>0.1933</v>
      </c>
      <c r="K2554" s="1">
        <v>0.2303</v>
      </c>
      <c r="L2554" s="1">
        <v>7.6700000000000004E-2</v>
      </c>
      <c r="M2554" s="1">
        <v>4.82E-2</v>
      </c>
      <c r="O2554">
        <v>73</v>
      </c>
      <c r="P2554">
        <v>33</v>
      </c>
      <c r="Q2554">
        <v>2633</v>
      </c>
    </row>
    <row r="2555" spans="1:17" x14ac:dyDescent="0.25">
      <c r="A2555" t="s">
        <v>197</v>
      </c>
      <c r="B2555" t="s">
        <v>198</v>
      </c>
      <c r="C2555" t="s">
        <v>228</v>
      </c>
      <c r="D2555" t="s">
        <v>208</v>
      </c>
      <c r="E2555" s="1">
        <v>6.5500000000000003E-2</v>
      </c>
      <c r="F2555" s="1">
        <v>0.255</v>
      </c>
      <c r="G2555" s="1">
        <v>0.1229</v>
      </c>
      <c r="H2555" s="1">
        <v>0.15570000000000001</v>
      </c>
      <c r="J2555" s="1">
        <v>0.38219999999999998</v>
      </c>
      <c r="K2555" s="1">
        <v>2.5600000000000001E-2</v>
      </c>
      <c r="M2555" s="1">
        <v>2.5600000000000001E-2</v>
      </c>
      <c r="O2555">
        <v>73</v>
      </c>
      <c r="P2555">
        <v>33</v>
      </c>
      <c r="Q2555">
        <v>2633</v>
      </c>
    </row>
    <row r="2556" spans="1:17" x14ac:dyDescent="0.25">
      <c r="A2556" t="s">
        <v>197</v>
      </c>
      <c r="B2556" t="s">
        <v>198</v>
      </c>
      <c r="C2556" t="s">
        <v>229</v>
      </c>
      <c r="D2556" t="s">
        <v>766</v>
      </c>
      <c r="E2556" s="1">
        <v>4.36E-2</v>
      </c>
      <c r="F2556" s="1">
        <v>0.1792</v>
      </c>
      <c r="H2556" s="1">
        <v>4.8399999999999999E-2</v>
      </c>
      <c r="L2556" s="1">
        <v>4.36E-2</v>
      </c>
      <c r="M2556" s="1">
        <v>1.32E-2</v>
      </c>
      <c r="O2556">
        <v>96</v>
      </c>
      <c r="P2556">
        <v>49</v>
      </c>
      <c r="Q2556">
        <v>2633</v>
      </c>
    </row>
    <row r="2557" spans="1:17" x14ac:dyDescent="0.25">
      <c r="A2557" t="s">
        <v>197</v>
      </c>
      <c r="B2557" t="s">
        <v>198</v>
      </c>
      <c r="C2557" t="s">
        <v>229</v>
      </c>
      <c r="D2557" t="s">
        <v>767</v>
      </c>
      <c r="E2557" s="1">
        <v>0.6835</v>
      </c>
      <c r="F2557" s="1">
        <v>0.17519999999999999</v>
      </c>
      <c r="G2557" s="1">
        <v>0.83579999999999999</v>
      </c>
      <c r="H2557" s="1">
        <v>0.58450000000000002</v>
      </c>
      <c r="I2557" s="1">
        <v>0.55189999999999995</v>
      </c>
      <c r="J2557" s="1">
        <v>0.56989999999999996</v>
      </c>
      <c r="K2557" s="1">
        <v>0.75270000000000004</v>
      </c>
      <c r="L2557" s="1">
        <v>0.59840000000000004</v>
      </c>
      <c r="M2557" s="1">
        <v>0.81859999999999999</v>
      </c>
      <c r="N2557" s="1">
        <v>0.94940000000000002</v>
      </c>
      <c r="O2557">
        <v>96</v>
      </c>
      <c r="P2557">
        <v>49</v>
      </c>
      <c r="Q2557">
        <v>2633</v>
      </c>
    </row>
    <row r="2558" spans="1:17" x14ac:dyDescent="0.25">
      <c r="A2558" t="s">
        <v>197</v>
      </c>
      <c r="B2558" t="s">
        <v>198</v>
      </c>
      <c r="C2558" t="s">
        <v>229</v>
      </c>
      <c r="D2558" t="s">
        <v>768</v>
      </c>
      <c r="E2558" s="1">
        <v>0.1835</v>
      </c>
      <c r="F2558" s="1">
        <v>0.20930000000000001</v>
      </c>
      <c r="G2558" s="1">
        <v>5.0599999999999999E-2</v>
      </c>
      <c r="H2558" s="1">
        <v>0.19670000000000001</v>
      </c>
      <c r="I2558" s="1">
        <v>0.37880000000000003</v>
      </c>
      <c r="J2558" s="1">
        <v>6.3E-2</v>
      </c>
      <c r="K2558" s="1">
        <v>0.16700000000000001</v>
      </c>
      <c r="L2558" s="1">
        <v>0.3579</v>
      </c>
      <c r="M2558" s="1">
        <v>0.14399999999999999</v>
      </c>
      <c r="N2558" s="1">
        <v>2.63E-2</v>
      </c>
      <c r="O2558">
        <v>96</v>
      </c>
      <c r="P2558">
        <v>49</v>
      </c>
      <c r="Q2558">
        <v>2633</v>
      </c>
    </row>
    <row r="2559" spans="1:17" x14ac:dyDescent="0.25">
      <c r="A2559" t="s">
        <v>197</v>
      </c>
      <c r="B2559" t="s">
        <v>198</v>
      </c>
      <c r="C2559" t="s">
        <v>229</v>
      </c>
      <c r="D2559" t="s">
        <v>208</v>
      </c>
      <c r="E2559" s="1">
        <v>8.9399999999999993E-2</v>
      </c>
      <c r="F2559" s="1">
        <v>0.43640000000000001</v>
      </c>
      <c r="G2559" s="1">
        <v>0.11360000000000001</v>
      </c>
      <c r="H2559" s="1">
        <v>0.1704</v>
      </c>
      <c r="I2559" s="1">
        <v>6.9199999999999998E-2</v>
      </c>
      <c r="J2559" s="1">
        <v>0.36709999999999998</v>
      </c>
      <c r="K2559" s="1">
        <v>8.0299999999999996E-2</v>
      </c>
      <c r="M2559" s="1">
        <v>2.4199999999999999E-2</v>
      </c>
      <c r="N2559" s="1">
        <v>2.4199999999999999E-2</v>
      </c>
      <c r="O2559">
        <v>96</v>
      </c>
      <c r="P2559">
        <v>49</v>
      </c>
      <c r="Q2559">
        <v>2633</v>
      </c>
    </row>
    <row r="2560" spans="1:17" x14ac:dyDescent="0.25">
      <c r="A2560" t="s">
        <v>199</v>
      </c>
      <c r="B2560" t="s">
        <v>198</v>
      </c>
      <c r="C2560" t="s">
        <v>228</v>
      </c>
      <c r="D2560" t="s">
        <v>766</v>
      </c>
      <c r="E2560" s="1">
        <v>3.3999999999999998E-3</v>
      </c>
      <c r="F2560" s="1">
        <v>8.2400000000000001E-2</v>
      </c>
      <c r="G2560" s="1">
        <v>1.7299999999999999E-2</v>
      </c>
      <c r="H2560" s="1">
        <v>2.8000000000000001E-2</v>
      </c>
      <c r="I2560" s="1">
        <v>3.32E-2</v>
      </c>
      <c r="J2560" s="1">
        <v>1.0200000000000001E-2</v>
      </c>
      <c r="O2560">
        <v>84</v>
      </c>
      <c r="P2560">
        <v>145</v>
      </c>
      <c r="Q2560">
        <v>2633</v>
      </c>
    </row>
    <row r="2561" spans="1:17" x14ac:dyDescent="0.25">
      <c r="A2561" t="s">
        <v>199</v>
      </c>
      <c r="B2561" t="s">
        <v>198</v>
      </c>
      <c r="C2561" t="s">
        <v>228</v>
      </c>
      <c r="D2561" t="s">
        <v>767</v>
      </c>
      <c r="E2561" s="1">
        <v>0.78869999999999996</v>
      </c>
      <c r="F2561" s="1">
        <v>0.26690000000000003</v>
      </c>
      <c r="G2561" s="1">
        <v>0.745</v>
      </c>
      <c r="H2561" s="1">
        <v>0.53029999999999999</v>
      </c>
      <c r="I2561" s="1">
        <v>0.82809999999999995</v>
      </c>
      <c r="J2561" s="1">
        <v>0.66959999999999997</v>
      </c>
      <c r="K2561" s="1">
        <v>0.66200000000000003</v>
      </c>
      <c r="L2561" s="1">
        <v>0.75960000000000005</v>
      </c>
      <c r="M2561" s="1">
        <v>0.89770000000000005</v>
      </c>
      <c r="N2561" s="1">
        <v>0.95689999999999997</v>
      </c>
      <c r="O2561">
        <v>84</v>
      </c>
      <c r="P2561">
        <v>145</v>
      </c>
      <c r="Q2561">
        <v>2633</v>
      </c>
    </row>
    <row r="2562" spans="1:17" x14ac:dyDescent="0.25">
      <c r="A2562" t="s">
        <v>199</v>
      </c>
      <c r="B2562" t="s">
        <v>198</v>
      </c>
      <c r="C2562" t="s">
        <v>228</v>
      </c>
      <c r="D2562" t="s">
        <v>768</v>
      </c>
      <c r="E2562" s="1">
        <v>0.11210000000000001</v>
      </c>
      <c r="F2562" s="1">
        <v>0.1706</v>
      </c>
      <c r="G2562" s="1">
        <v>1.2200000000000001E-2</v>
      </c>
      <c r="H2562" s="1">
        <v>0.18629999999999999</v>
      </c>
      <c r="I2562" s="1">
        <v>0.1353</v>
      </c>
      <c r="K2562" s="1">
        <v>0.2873</v>
      </c>
      <c r="L2562" s="1">
        <v>0.2404</v>
      </c>
      <c r="M2562" s="1">
        <v>5.2200000000000003E-2</v>
      </c>
      <c r="N2562" s="1">
        <v>3.4000000000000002E-2</v>
      </c>
      <c r="O2562">
        <v>84</v>
      </c>
      <c r="P2562">
        <v>145</v>
      </c>
      <c r="Q2562">
        <v>2633</v>
      </c>
    </row>
    <row r="2563" spans="1:17" x14ac:dyDescent="0.25">
      <c r="A2563" t="s">
        <v>199</v>
      </c>
      <c r="B2563" t="s">
        <v>198</v>
      </c>
      <c r="C2563" t="s">
        <v>228</v>
      </c>
      <c r="D2563" t="s">
        <v>208</v>
      </c>
      <c r="E2563" s="1">
        <v>9.5799999999999996E-2</v>
      </c>
      <c r="F2563" s="1">
        <v>0.48010000000000003</v>
      </c>
      <c r="G2563" s="1">
        <v>0.22539999999999999</v>
      </c>
      <c r="H2563" s="1">
        <v>0.25530000000000003</v>
      </c>
      <c r="I2563" s="1">
        <v>3.3999999999999998E-3</v>
      </c>
      <c r="J2563" s="1">
        <v>0.32019999999999998</v>
      </c>
      <c r="K2563" s="1">
        <v>5.0799999999999998E-2</v>
      </c>
      <c r="M2563" s="1">
        <v>5.0099999999999999E-2</v>
      </c>
      <c r="N2563" s="1">
        <v>9.1000000000000004E-3</v>
      </c>
      <c r="O2563">
        <v>84</v>
      </c>
      <c r="P2563">
        <v>145</v>
      </c>
      <c r="Q2563">
        <v>2633</v>
      </c>
    </row>
    <row r="2564" spans="1:17" x14ac:dyDescent="0.25">
      <c r="A2564" t="s">
        <v>199</v>
      </c>
      <c r="B2564" t="s">
        <v>198</v>
      </c>
      <c r="C2564" t="s">
        <v>229</v>
      </c>
      <c r="D2564" t="s">
        <v>766</v>
      </c>
      <c r="E2564" s="1">
        <v>3.8999999999999998E-3</v>
      </c>
      <c r="F2564" s="1">
        <v>9.2100000000000001E-2</v>
      </c>
      <c r="I2564" s="1">
        <v>8.6999999999999994E-3</v>
      </c>
      <c r="J2564" s="1">
        <v>2.5000000000000001E-3</v>
      </c>
      <c r="K2564" s="1">
        <v>2.7000000000000001E-3</v>
      </c>
      <c r="M2564" s="1">
        <v>2E-3</v>
      </c>
      <c r="O2564">
        <v>240</v>
      </c>
      <c r="P2564">
        <v>213</v>
      </c>
      <c r="Q2564">
        <v>2633</v>
      </c>
    </row>
    <row r="2565" spans="1:17" x14ac:dyDescent="0.25">
      <c r="A2565" t="s">
        <v>199</v>
      </c>
      <c r="B2565" t="s">
        <v>198</v>
      </c>
      <c r="C2565" t="s">
        <v>229</v>
      </c>
      <c r="D2565" t="s">
        <v>767</v>
      </c>
      <c r="E2565" s="1">
        <v>0.75429999999999997</v>
      </c>
      <c r="F2565" s="1">
        <v>0.44500000000000001</v>
      </c>
      <c r="G2565" s="1">
        <v>0.90780000000000005</v>
      </c>
      <c r="H2565" s="1">
        <v>0.75629999999999997</v>
      </c>
      <c r="I2565" s="1">
        <v>0.61250000000000004</v>
      </c>
      <c r="J2565" s="1">
        <v>0.69630000000000003</v>
      </c>
      <c r="K2565" s="1">
        <v>0.6946</v>
      </c>
      <c r="L2565" s="1">
        <v>0.52600000000000002</v>
      </c>
      <c r="M2565" s="1">
        <v>0.8669</v>
      </c>
      <c r="N2565" s="1">
        <v>0.98780000000000001</v>
      </c>
      <c r="O2565">
        <v>240</v>
      </c>
      <c r="P2565">
        <v>213</v>
      </c>
      <c r="Q2565">
        <v>2633</v>
      </c>
    </row>
    <row r="2566" spans="1:17" x14ac:dyDescent="0.25">
      <c r="A2566" t="s">
        <v>199</v>
      </c>
      <c r="B2566" t="s">
        <v>198</v>
      </c>
      <c r="C2566" t="s">
        <v>229</v>
      </c>
      <c r="D2566" t="s">
        <v>768</v>
      </c>
      <c r="E2566" s="1">
        <v>0.22059999999999999</v>
      </c>
      <c r="F2566" s="1">
        <v>0.14910000000000001</v>
      </c>
      <c r="G2566" s="1">
        <v>4.0000000000000002E-4</v>
      </c>
      <c r="H2566" s="1">
        <v>4.4499999999999998E-2</v>
      </c>
      <c r="I2566" s="1">
        <v>0.37780000000000002</v>
      </c>
      <c r="J2566" s="1">
        <v>8.9999999999999993E-3</v>
      </c>
      <c r="K2566" s="1">
        <v>0.26740000000000003</v>
      </c>
      <c r="L2566" s="1">
        <v>0.47399999999999998</v>
      </c>
      <c r="M2566" s="1">
        <v>8.72E-2</v>
      </c>
      <c r="N2566" s="1">
        <v>4.7000000000000002E-3</v>
      </c>
      <c r="O2566">
        <v>240</v>
      </c>
      <c r="P2566">
        <v>213</v>
      </c>
      <c r="Q2566">
        <v>2633</v>
      </c>
    </row>
    <row r="2567" spans="1:17" x14ac:dyDescent="0.25">
      <c r="A2567" t="s">
        <v>199</v>
      </c>
      <c r="B2567" t="s">
        <v>198</v>
      </c>
      <c r="C2567" t="s">
        <v>229</v>
      </c>
      <c r="D2567" t="s">
        <v>208</v>
      </c>
      <c r="E2567" s="1">
        <v>2.1100000000000001E-2</v>
      </c>
      <c r="F2567" s="1">
        <v>0.31390000000000001</v>
      </c>
      <c r="G2567" s="1">
        <v>9.1800000000000007E-2</v>
      </c>
      <c r="H2567" s="1">
        <v>0.1991</v>
      </c>
      <c r="I2567" s="1">
        <v>1E-3</v>
      </c>
      <c r="J2567" s="1">
        <v>0.2923</v>
      </c>
      <c r="K2567" s="1">
        <v>3.5299999999999998E-2</v>
      </c>
      <c r="M2567" s="1">
        <v>4.3900000000000002E-2</v>
      </c>
      <c r="N2567" s="1">
        <v>7.4999999999999997E-3</v>
      </c>
      <c r="O2567">
        <v>240</v>
      </c>
      <c r="P2567">
        <v>213</v>
      </c>
      <c r="Q2567">
        <v>2633</v>
      </c>
    </row>
    <row r="2568" spans="1:17" x14ac:dyDescent="0.25">
      <c r="A2568" t="s">
        <v>200</v>
      </c>
      <c r="B2568" t="s">
        <v>198</v>
      </c>
      <c r="C2568" t="s">
        <v>228</v>
      </c>
      <c r="D2568" t="s">
        <v>766</v>
      </c>
      <c r="E2568" s="1">
        <v>1.67E-2</v>
      </c>
      <c r="F2568" s="1">
        <v>7.3999999999999996E-2</v>
      </c>
      <c r="I2568" s="1">
        <v>1.9599999999999999E-2</v>
      </c>
      <c r="J2568" s="1">
        <v>9.7999999999999997E-3</v>
      </c>
      <c r="O2568">
        <v>75</v>
      </c>
      <c r="P2568">
        <v>112</v>
      </c>
      <c r="Q2568">
        <v>2633</v>
      </c>
    </row>
    <row r="2569" spans="1:17" x14ac:dyDescent="0.25">
      <c r="A2569" t="s">
        <v>200</v>
      </c>
      <c r="B2569" t="s">
        <v>198</v>
      </c>
      <c r="C2569" t="s">
        <v>228</v>
      </c>
      <c r="D2569" t="s">
        <v>767</v>
      </c>
      <c r="E2569" s="1">
        <v>0.82250000000000001</v>
      </c>
      <c r="F2569" s="1">
        <v>0.36849999999999999</v>
      </c>
      <c r="G2569" s="1">
        <v>0.91820000000000002</v>
      </c>
      <c r="H2569" s="1">
        <v>0.68859999999999999</v>
      </c>
      <c r="I2569" s="1">
        <v>0.64910000000000001</v>
      </c>
      <c r="J2569" s="1">
        <v>0.73729999999999996</v>
      </c>
      <c r="K2569" s="1">
        <v>0.79769999999999996</v>
      </c>
      <c r="L2569" s="1">
        <v>0.65029999999999999</v>
      </c>
      <c r="M2569" s="1">
        <v>0.89270000000000005</v>
      </c>
      <c r="N2569" s="1">
        <v>0.93400000000000005</v>
      </c>
      <c r="O2569">
        <v>75</v>
      </c>
      <c r="P2569">
        <v>112</v>
      </c>
      <c r="Q2569">
        <v>2633</v>
      </c>
    </row>
    <row r="2570" spans="1:17" x14ac:dyDescent="0.25">
      <c r="A2570" t="s">
        <v>200</v>
      </c>
      <c r="B2570" t="s">
        <v>198</v>
      </c>
      <c r="C2570" t="s">
        <v>228</v>
      </c>
      <c r="D2570" t="s">
        <v>768</v>
      </c>
      <c r="E2570" s="1">
        <v>0.1074</v>
      </c>
      <c r="F2570" s="1">
        <v>0.15479999999999999</v>
      </c>
      <c r="G2570" s="1">
        <v>7.4999999999999997E-3</v>
      </c>
      <c r="H2570" s="1">
        <v>0.1106</v>
      </c>
      <c r="I2570" s="1">
        <v>0.32440000000000002</v>
      </c>
      <c r="J2570" s="1">
        <v>0.06</v>
      </c>
      <c r="K2570" s="1">
        <v>0.1764</v>
      </c>
      <c r="L2570" s="1">
        <v>0.32669999999999999</v>
      </c>
      <c r="M2570" s="1">
        <v>5.8599999999999999E-2</v>
      </c>
      <c r="N2570" s="1">
        <v>2.41E-2</v>
      </c>
      <c r="O2570">
        <v>75</v>
      </c>
      <c r="P2570">
        <v>112</v>
      </c>
      <c r="Q2570">
        <v>2633</v>
      </c>
    </row>
    <row r="2571" spans="1:17" x14ac:dyDescent="0.25">
      <c r="A2571" t="s">
        <v>200</v>
      </c>
      <c r="B2571" t="s">
        <v>198</v>
      </c>
      <c r="C2571" t="s">
        <v>228</v>
      </c>
      <c r="D2571" t="s">
        <v>208</v>
      </c>
      <c r="E2571" s="1">
        <v>5.3400000000000003E-2</v>
      </c>
      <c r="F2571" s="1">
        <v>0.4027</v>
      </c>
      <c r="G2571" s="1">
        <v>7.4300000000000005E-2</v>
      </c>
      <c r="H2571" s="1">
        <v>0.20069999999999999</v>
      </c>
      <c r="I2571" s="1">
        <v>6.8999999999999999E-3</v>
      </c>
      <c r="J2571" s="1">
        <v>0.193</v>
      </c>
      <c r="K2571" s="1">
        <v>2.5899999999999999E-2</v>
      </c>
      <c r="L2571" s="1">
        <v>2.3E-2</v>
      </c>
      <c r="M2571" s="1">
        <v>4.87E-2</v>
      </c>
      <c r="N2571" s="1">
        <v>4.19E-2</v>
      </c>
      <c r="O2571">
        <v>75</v>
      </c>
      <c r="P2571">
        <v>112</v>
      </c>
      <c r="Q2571">
        <v>2633</v>
      </c>
    </row>
    <row r="2572" spans="1:17" x14ac:dyDescent="0.25">
      <c r="A2572" t="s">
        <v>200</v>
      </c>
      <c r="B2572" t="s">
        <v>198</v>
      </c>
      <c r="C2572" t="s">
        <v>229</v>
      </c>
      <c r="D2572" t="s">
        <v>766</v>
      </c>
      <c r="E2572" s="1">
        <v>1.78E-2</v>
      </c>
      <c r="F2572" s="1">
        <v>7.1900000000000006E-2</v>
      </c>
      <c r="G2572" s="1">
        <v>6.0000000000000001E-3</v>
      </c>
      <c r="H2572" s="1">
        <v>4.1999999999999997E-3</v>
      </c>
      <c r="I2572" s="1">
        <v>1.67E-2</v>
      </c>
      <c r="K2572" s="1">
        <v>2.3E-3</v>
      </c>
      <c r="L2572" s="1">
        <v>1E-4</v>
      </c>
      <c r="O2572">
        <v>248</v>
      </c>
      <c r="P2572">
        <v>270</v>
      </c>
      <c r="Q2572">
        <v>2633</v>
      </c>
    </row>
    <row r="2573" spans="1:17" x14ac:dyDescent="0.25">
      <c r="A2573" t="s">
        <v>200</v>
      </c>
      <c r="B2573" t="s">
        <v>198</v>
      </c>
      <c r="C2573" t="s">
        <v>229</v>
      </c>
      <c r="D2573" t="s">
        <v>767</v>
      </c>
      <c r="E2573" s="1">
        <v>0.71899999999999997</v>
      </c>
      <c r="F2573" s="1">
        <v>0.3034</v>
      </c>
      <c r="G2573" s="1">
        <v>0.8427</v>
      </c>
      <c r="H2573" s="1">
        <v>0.69259999999999999</v>
      </c>
      <c r="I2573" s="1">
        <v>0.75919999999999999</v>
      </c>
      <c r="J2573" s="1">
        <v>0.61670000000000003</v>
      </c>
      <c r="K2573" s="1">
        <v>0.79800000000000004</v>
      </c>
      <c r="L2573" s="1">
        <v>0.73460000000000003</v>
      </c>
      <c r="M2573" s="1">
        <v>0.8881</v>
      </c>
      <c r="N2573" s="1">
        <v>0.93940000000000001</v>
      </c>
      <c r="O2573">
        <v>248</v>
      </c>
      <c r="P2573">
        <v>270</v>
      </c>
      <c r="Q2573">
        <v>2633</v>
      </c>
    </row>
    <row r="2574" spans="1:17" x14ac:dyDescent="0.25">
      <c r="A2574" t="s">
        <v>200</v>
      </c>
      <c r="B2574" t="s">
        <v>198</v>
      </c>
      <c r="C2574" t="s">
        <v>229</v>
      </c>
      <c r="D2574" t="s">
        <v>768</v>
      </c>
      <c r="E2574" s="1">
        <v>0.2145</v>
      </c>
      <c r="F2574" s="1">
        <v>0.12540000000000001</v>
      </c>
      <c r="G2574" s="1">
        <v>3.1199999999999999E-2</v>
      </c>
      <c r="H2574" s="1">
        <v>6.7299999999999999E-2</v>
      </c>
      <c r="I2574" s="1">
        <v>0.1885</v>
      </c>
      <c r="J2574" s="1">
        <v>3.09E-2</v>
      </c>
      <c r="K2574" s="1">
        <v>0.13420000000000001</v>
      </c>
      <c r="L2574" s="1">
        <v>0.25929999999999997</v>
      </c>
      <c r="M2574" s="1">
        <v>6.7599999999999993E-2</v>
      </c>
      <c r="N2574" s="1">
        <v>5.4600000000000003E-2</v>
      </c>
      <c r="O2574">
        <v>248</v>
      </c>
      <c r="P2574">
        <v>270</v>
      </c>
      <c r="Q2574">
        <v>2633</v>
      </c>
    </row>
    <row r="2575" spans="1:17" x14ac:dyDescent="0.25">
      <c r="A2575" t="s">
        <v>200</v>
      </c>
      <c r="B2575" t="s">
        <v>198</v>
      </c>
      <c r="C2575" t="s">
        <v>229</v>
      </c>
      <c r="D2575" t="s">
        <v>208</v>
      </c>
      <c r="E2575" s="1">
        <v>4.8800000000000003E-2</v>
      </c>
      <c r="F2575" s="1">
        <v>0.49940000000000001</v>
      </c>
      <c r="G2575" s="1">
        <v>0.12</v>
      </c>
      <c r="H2575" s="1">
        <v>0.2359</v>
      </c>
      <c r="I2575" s="1">
        <v>3.56E-2</v>
      </c>
      <c r="J2575" s="1">
        <v>0.3523</v>
      </c>
      <c r="K2575" s="1">
        <v>6.5500000000000003E-2</v>
      </c>
      <c r="L2575" s="1">
        <v>6.0000000000000001E-3</v>
      </c>
      <c r="M2575" s="1">
        <v>4.4299999999999999E-2</v>
      </c>
      <c r="N2575" s="1">
        <v>6.0000000000000001E-3</v>
      </c>
      <c r="O2575">
        <v>248</v>
      </c>
      <c r="P2575">
        <v>270</v>
      </c>
      <c r="Q2575">
        <v>2633</v>
      </c>
    </row>
    <row r="2576" spans="1:17" x14ac:dyDescent="0.25">
      <c r="A2576" t="s">
        <v>201</v>
      </c>
      <c r="B2576" t="s">
        <v>198</v>
      </c>
      <c r="C2576" t="s">
        <v>228</v>
      </c>
      <c r="D2576" t="s">
        <v>766</v>
      </c>
      <c r="E2576" s="1">
        <v>1.5E-3</v>
      </c>
      <c r="F2576" s="1">
        <v>0.183</v>
      </c>
      <c r="H2576" s="1">
        <v>3.3999999999999998E-3</v>
      </c>
      <c r="I2576" s="1">
        <v>3.78E-2</v>
      </c>
      <c r="L2576" s="1">
        <v>3.78E-2</v>
      </c>
      <c r="O2576">
        <v>26</v>
      </c>
      <c r="P2576">
        <v>95</v>
      </c>
      <c r="Q2576">
        <v>2633</v>
      </c>
    </row>
    <row r="2577" spans="1:17" x14ac:dyDescent="0.25">
      <c r="A2577" t="s">
        <v>201</v>
      </c>
      <c r="B2577" t="s">
        <v>198</v>
      </c>
      <c r="C2577" t="s">
        <v>228</v>
      </c>
      <c r="D2577" t="s">
        <v>767</v>
      </c>
      <c r="E2577" s="1">
        <v>0.74</v>
      </c>
      <c r="F2577" s="1">
        <v>0.22020000000000001</v>
      </c>
      <c r="G2577" s="1">
        <v>0.74709999999999999</v>
      </c>
      <c r="H2577" s="1">
        <v>0.5554</v>
      </c>
      <c r="I2577" s="1">
        <v>0.65369999999999995</v>
      </c>
      <c r="J2577" s="1">
        <v>0.59619999999999995</v>
      </c>
      <c r="K2577" s="1">
        <v>0.68510000000000004</v>
      </c>
      <c r="L2577" s="1">
        <v>0.6593</v>
      </c>
      <c r="M2577" s="1">
        <v>0.87080000000000002</v>
      </c>
      <c r="N2577" s="1">
        <v>0.8931</v>
      </c>
      <c r="O2577">
        <v>26</v>
      </c>
      <c r="P2577">
        <v>95</v>
      </c>
      <c r="Q2577">
        <v>2633</v>
      </c>
    </row>
    <row r="2578" spans="1:17" x14ac:dyDescent="0.25">
      <c r="A2578" t="s">
        <v>201</v>
      </c>
      <c r="B2578" t="s">
        <v>198</v>
      </c>
      <c r="C2578" t="s">
        <v>228</v>
      </c>
      <c r="D2578" t="s">
        <v>768</v>
      </c>
      <c r="E2578" s="1">
        <v>0.25240000000000001</v>
      </c>
      <c r="F2578" s="1">
        <v>0.1966</v>
      </c>
      <c r="G2578" s="1">
        <v>1.7500000000000002E-2</v>
      </c>
      <c r="H2578" s="1">
        <v>8.4900000000000003E-2</v>
      </c>
      <c r="I2578" s="1">
        <v>0.30549999999999999</v>
      </c>
      <c r="J2578" s="1">
        <v>1.17E-2</v>
      </c>
      <c r="K2578" s="1">
        <v>0.22289999999999999</v>
      </c>
      <c r="L2578" s="1">
        <v>0.3029</v>
      </c>
      <c r="M2578" s="1">
        <v>0.1008</v>
      </c>
      <c r="N2578" s="1">
        <v>7.6899999999999996E-2</v>
      </c>
      <c r="O2578">
        <v>26</v>
      </c>
      <c r="P2578">
        <v>95</v>
      </c>
      <c r="Q2578">
        <v>2633</v>
      </c>
    </row>
    <row r="2579" spans="1:17" x14ac:dyDescent="0.25">
      <c r="A2579" t="s">
        <v>201</v>
      </c>
      <c r="B2579" t="s">
        <v>198</v>
      </c>
      <c r="C2579" t="s">
        <v>228</v>
      </c>
      <c r="D2579" t="s">
        <v>208</v>
      </c>
      <c r="E2579" s="1">
        <v>6.1000000000000004E-3</v>
      </c>
      <c r="F2579" s="1">
        <v>0.4002</v>
      </c>
      <c r="G2579" s="1">
        <v>0.2354</v>
      </c>
      <c r="H2579" s="1">
        <v>0.35630000000000001</v>
      </c>
      <c r="I2579" s="1">
        <v>3.0000000000000001E-3</v>
      </c>
      <c r="J2579" s="1">
        <v>0.3921</v>
      </c>
      <c r="K2579" s="1">
        <v>9.1999999999999998E-2</v>
      </c>
      <c r="M2579" s="1">
        <v>2.8400000000000002E-2</v>
      </c>
      <c r="N2579" s="1">
        <v>0.03</v>
      </c>
      <c r="O2579">
        <v>26</v>
      </c>
      <c r="P2579">
        <v>95</v>
      </c>
      <c r="Q2579">
        <v>2633</v>
      </c>
    </row>
    <row r="2580" spans="1:17" x14ac:dyDescent="0.25">
      <c r="A2580" t="s">
        <v>201</v>
      </c>
      <c r="B2580" t="s">
        <v>198</v>
      </c>
      <c r="C2580" t="s">
        <v>229</v>
      </c>
      <c r="D2580" t="s">
        <v>766</v>
      </c>
      <c r="E2580" s="1">
        <v>4.9399999999999999E-2</v>
      </c>
      <c r="F2580" s="1">
        <v>0.1099</v>
      </c>
      <c r="G2580" s="1">
        <v>1.03E-2</v>
      </c>
      <c r="H2580" s="1">
        <v>1.8E-3</v>
      </c>
      <c r="I2580" s="1">
        <v>2.53E-2</v>
      </c>
      <c r="J2580" s="1">
        <v>6.6E-3</v>
      </c>
      <c r="K2580" s="1">
        <v>5.7999999999999996E-3</v>
      </c>
      <c r="L2580" s="1">
        <v>1.24E-2</v>
      </c>
      <c r="O2580">
        <v>94</v>
      </c>
      <c r="P2580">
        <v>155</v>
      </c>
      <c r="Q2580">
        <v>2633</v>
      </c>
    </row>
    <row r="2581" spans="1:17" x14ac:dyDescent="0.25">
      <c r="A2581" t="s">
        <v>201</v>
      </c>
      <c r="B2581" t="s">
        <v>198</v>
      </c>
      <c r="C2581" t="s">
        <v>229</v>
      </c>
      <c r="D2581" t="s">
        <v>767</v>
      </c>
      <c r="E2581" s="1">
        <v>0.78610000000000002</v>
      </c>
      <c r="F2581" s="1">
        <v>0.22570000000000001</v>
      </c>
      <c r="G2581" s="1">
        <v>0.85819999999999996</v>
      </c>
      <c r="H2581" s="1">
        <v>0.58679999999999999</v>
      </c>
      <c r="I2581" s="1">
        <v>0.73599999999999999</v>
      </c>
      <c r="J2581" s="1">
        <v>0.54930000000000001</v>
      </c>
      <c r="K2581" s="1">
        <v>0.75109999999999999</v>
      </c>
      <c r="L2581" s="1">
        <v>0.71619999999999995</v>
      </c>
      <c r="M2581" s="1">
        <v>0.89059999999999995</v>
      </c>
      <c r="N2581" s="1">
        <v>0.95850000000000002</v>
      </c>
      <c r="O2581">
        <v>94</v>
      </c>
      <c r="P2581">
        <v>155</v>
      </c>
      <c r="Q2581">
        <v>2633</v>
      </c>
    </row>
    <row r="2582" spans="1:17" x14ac:dyDescent="0.25">
      <c r="A2582" t="s">
        <v>201</v>
      </c>
      <c r="B2582" t="s">
        <v>198</v>
      </c>
      <c r="C2582" t="s">
        <v>229</v>
      </c>
      <c r="D2582" t="s">
        <v>768</v>
      </c>
      <c r="E2582" s="1">
        <v>8.6999999999999994E-2</v>
      </c>
      <c r="F2582" s="1">
        <v>0.1588</v>
      </c>
      <c r="G2582" s="1">
        <v>1.29E-2</v>
      </c>
      <c r="H2582" s="1">
        <v>9.1999999999999998E-2</v>
      </c>
      <c r="I2582" s="1">
        <v>0.20549999999999999</v>
      </c>
      <c r="K2582" s="1">
        <v>0.1444</v>
      </c>
      <c r="L2582" s="1">
        <v>0.27139999999999997</v>
      </c>
      <c r="M2582" s="1">
        <v>3.61E-2</v>
      </c>
      <c r="N2582" s="1">
        <v>1.7399999999999999E-2</v>
      </c>
      <c r="O2582">
        <v>94</v>
      </c>
      <c r="P2582">
        <v>155</v>
      </c>
      <c r="Q2582">
        <v>2633</v>
      </c>
    </row>
    <row r="2583" spans="1:17" x14ac:dyDescent="0.25">
      <c r="A2583" t="s">
        <v>201</v>
      </c>
      <c r="B2583" t="s">
        <v>198</v>
      </c>
      <c r="C2583" t="s">
        <v>229</v>
      </c>
      <c r="D2583" t="s">
        <v>208</v>
      </c>
      <c r="E2583" s="1">
        <v>7.7600000000000002E-2</v>
      </c>
      <c r="F2583" s="1">
        <v>0.50560000000000005</v>
      </c>
      <c r="G2583" s="1">
        <v>0.1186</v>
      </c>
      <c r="H2583" s="1">
        <v>0.31940000000000002</v>
      </c>
      <c r="I2583" s="1">
        <v>3.32E-2</v>
      </c>
      <c r="J2583" s="1">
        <v>0.44409999999999999</v>
      </c>
      <c r="K2583" s="1">
        <v>9.8799999999999999E-2</v>
      </c>
      <c r="M2583" s="1">
        <v>7.3300000000000004E-2</v>
      </c>
      <c r="N2583" s="1">
        <v>2.4E-2</v>
      </c>
      <c r="O2583">
        <v>94</v>
      </c>
      <c r="P2583">
        <v>155</v>
      </c>
      <c r="Q2583">
        <v>2633</v>
      </c>
    </row>
    <row r="2584" spans="1:17" s="29" customFormat="1" x14ac:dyDescent="0.25">
      <c r="A2584" s="29" t="s">
        <v>202</v>
      </c>
      <c r="B2584" s="29" t="s">
        <v>198</v>
      </c>
      <c r="C2584" s="29" t="s">
        <v>228</v>
      </c>
      <c r="D2584" s="29" t="s">
        <v>766</v>
      </c>
      <c r="E2584" s="30">
        <v>6.4600000000000005E-2</v>
      </c>
      <c r="F2584" s="30">
        <v>0.14360000000000001</v>
      </c>
      <c r="G2584" s="30">
        <v>1.0699999999999999E-2</v>
      </c>
      <c r="O2584" s="29">
        <v>58</v>
      </c>
      <c r="P2584" s="29">
        <v>28</v>
      </c>
      <c r="Q2584" s="29">
        <v>2633</v>
      </c>
    </row>
    <row r="2585" spans="1:17" s="29" customFormat="1" x14ac:dyDescent="0.25">
      <c r="A2585" s="29" t="s">
        <v>202</v>
      </c>
      <c r="B2585" s="29" t="s">
        <v>198</v>
      </c>
      <c r="C2585" s="29" t="s">
        <v>228</v>
      </c>
      <c r="D2585" s="29" t="s">
        <v>767</v>
      </c>
      <c r="E2585" s="30">
        <v>0.68579999999999997</v>
      </c>
      <c r="F2585" s="30">
        <v>0.36259999999999998</v>
      </c>
      <c r="G2585" s="30">
        <v>0.62470000000000003</v>
      </c>
      <c r="H2585" s="30">
        <v>0.56950000000000001</v>
      </c>
      <c r="I2585" s="30">
        <v>0.63739999999999997</v>
      </c>
      <c r="J2585" s="30">
        <v>0.46489999999999998</v>
      </c>
      <c r="K2585" s="30">
        <v>0.65920000000000001</v>
      </c>
      <c r="L2585" s="30">
        <v>0.60350000000000004</v>
      </c>
      <c r="M2585" s="30">
        <v>0.71579999999999999</v>
      </c>
      <c r="N2585" s="30">
        <v>0.98929999999999996</v>
      </c>
      <c r="O2585" s="29">
        <v>58</v>
      </c>
      <c r="P2585" s="29">
        <v>28</v>
      </c>
      <c r="Q2585" s="29">
        <v>2633</v>
      </c>
    </row>
    <row r="2586" spans="1:17" s="29" customFormat="1" x14ac:dyDescent="0.25">
      <c r="A2586" s="29" t="s">
        <v>202</v>
      </c>
      <c r="B2586" s="29" t="s">
        <v>198</v>
      </c>
      <c r="C2586" s="29" t="s">
        <v>228</v>
      </c>
      <c r="D2586" s="29" t="s">
        <v>768</v>
      </c>
      <c r="E2586" s="30">
        <v>0.2389</v>
      </c>
      <c r="F2586" s="30">
        <v>6.8400000000000002E-2</v>
      </c>
      <c r="H2586" s="30">
        <v>0.19989999999999999</v>
      </c>
      <c r="I2586" s="30">
        <v>0.35189999999999999</v>
      </c>
      <c r="K2586" s="30">
        <v>5.0900000000000001E-2</v>
      </c>
      <c r="L2586" s="30">
        <v>0.39650000000000002</v>
      </c>
      <c r="M2586" s="30">
        <v>0.15129999999999999</v>
      </c>
      <c r="O2586" s="29">
        <v>58</v>
      </c>
      <c r="P2586" s="29">
        <v>28</v>
      </c>
      <c r="Q2586" s="29">
        <v>2633</v>
      </c>
    </row>
    <row r="2587" spans="1:17" s="29" customFormat="1" x14ac:dyDescent="0.25">
      <c r="A2587" s="29" t="s">
        <v>202</v>
      </c>
      <c r="B2587" s="29" t="s">
        <v>198</v>
      </c>
      <c r="C2587" s="29" t="s">
        <v>228</v>
      </c>
      <c r="D2587" s="29" t="s">
        <v>208</v>
      </c>
      <c r="E2587" s="30">
        <v>1.0699999999999999E-2</v>
      </c>
      <c r="F2587" s="30">
        <v>0.4254</v>
      </c>
      <c r="G2587" s="30">
        <v>0.36449999999999999</v>
      </c>
      <c r="H2587" s="30">
        <v>0.2306</v>
      </c>
      <c r="I2587" s="30">
        <v>1.0699999999999999E-2</v>
      </c>
      <c r="J2587" s="30">
        <v>0.53510000000000002</v>
      </c>
      <c r="K2587" s="30">
        <v>0.28989999999999999</v>
      </c>
      <c r="M2587" s="30">
        <v>0.13289999999999999</v>
      </c>
      <c r="N2587" s="30">
        <v>1.0699999999999999E-2</v>
      </c>
      <c r="O2587" s="29">
        <v>58</v>
      </c>
      <c r="P2587" s="29">
        <v>28</v>
      </c>
      <c r="Q2587" s="29">
        <v>2633</v>
      </c>
    </row>
    <row r="2588" spans="1:17" x14ac:dyDescent="0.25">
      <c r="A2588" t="s">
        <v>202</v>
      </c>
      <c r="B2588" t="s">
        <v>198</v>
      </c>
      <c r="C2588" t="s">
        <v>229</v>
      </c>
      <c r="D2588" t="s">
        <v>767</v>
      </c>
      <c r="E2588" s="1">
        <v>0.70530000000000004</v>
      </c>
      <c r="F2588" s="1">
        <v>0.33650000000000002</v>
      </c>
      <c r="G2588" s="1">
        <v>0.92520000000000002</v>
      </c>
      <c r="H2588" s="1">
        <v>0.60040000000000004</v>
      </c>
      <c r="I2588" s="1">
        <v>0.73</v>
      </c>
      <c r="J2588" s="1">
        <v>0.6784</v>
      </c>
      <c r="K2588" s="1">
        <v>0.93069999999999997</v>
      </c>
      <c r="L2588" s="1">
        <v>0.70350000000000001</v>
      </c>
      <c r="M2588" s="1">
        <v>0.93120000000000003</v>
      </c>
      <c r="N2588" s="1">
        <v>0.98419999999999996</v>
      </c>
      <c r="O2588">
        <v>188</v>
      </c>
      <c r="P2588">
        <v>68</v>
      </c>
      <c r="Q2588">
        <v>2633</v>
      </c>
    </row>
    <row r="2589" spans="1:17" x14ac:dyDescent="0.25">
      <c r="A2589" t="s">
        <v>202</v>
      </c>
      <c r="B2589" t="s">
        <v>198</v>
      </c>
      <c r="C2589" t="s">
        <v>229</v>
      </c>
      <c r="D2589" t="s">
        <v>768</v>
      </c>
      <c r="E2589" s="1">
        <v>0.24229999999999999</v>
      </c>
      <c r="F2589" s="1">
        <v>8.4699999999999998E-2</v>
      </c>
      <c r="G2589" s="1">
        <v>1.0500000000000001E-2</v>
      </c>
      <c r="H2589" s="1">
        <v>8.0600000000000005E-2</v>
      </c>
      <c r="I2589" s="1">
        <v>0.22650000000000001</v>
      </c>
      <c r="K2589" s="1">
        <v>4.5999999999999999E-2</v>
      </c>
      <c r="L2589" s="1">
        <v>0.28599999999999998</v>
      </c>
      <c r="M2589" s="1">
        <v>2.76E-2</v>
      </c>
      <c r="N2589" s="1">
        <v>3.3E-3</v>
      </c>
      <c r="O2589">
        <v>188</v>
      </c>
      <c r="P2589">
        <v>68</v>
      </c>
      <c r="Q2589">
        <v>2633</v>
      </c>
    </row>
    <row r="2590" spans="1:17" x14ac:dyDescent="0.25">
      <c r="A2590" t="s">
        <v>202</v>
      </c>
      <c r="B2590" t="s">
        <v>198</v>
      </c>
      <c r="C2590" t="s">
        <v>229</v>
      </c>
      <c r="D2590" t="s">
        <v>208</v>
      </c>
      <c r="E2590" s="1">
        <v>5.2400000000000002E-2</v>
      </c>
      <c r="F2590" s="1">
        <v>0.37780000000000002</v>
      </c>
      <c r="G2590" s="1">
        <v>4.3299999999999998E-2</v>
      </c>
      <c r="H2590" s="1">
        <v>0.31900000000000001</v>
      </c>
      <c r="I2590" s="1">
        <v>3.3000000000000002E-2</v>
      </c>
      <c r="J2590" s="1">
        <v>0.3216</v>
      </c>
      <c r="K2590" s="1">
        <v>2.3300000000000001E-2</v>
      </c>
      <c r="M2590" s="1">
        <v>4.1200000000000001E-2</v>
      </c>
      <c r="N2590" s="1">
        <v>1.24E-2</v>
      </c>
      <c r="O2590">
        <v>188</v>
      </c>
      <c r="P2590">
        <v>68</v>
      </c>
      <c r="Q2590">
        <v>2633</v>
      </c>
    </row>
    <row r="2591" spans="1:17" x14ac:dyDescent="0.25">
      <c r="A2591" t="s">
        <v>199</v>
      </c>
      <c r="B2591" t="s">
        <v>203</v>
      </c>
      <c r="C2591" t="s">
        <v>228</v>
      </c>
      <c r="D2591" t="s">
        <v>766</v>
      </c>
      <c r="E2591" s="1">
        <v>4.7999999999999996E-3</v>
      </c>
      <c r="F2591" s="1">
        <v>2.6200000000000001E-2</v>
      </c>
      <c r="I2591" s="1">
        <v>6.7999999999999996E-3</v>
      </c>
      <c r="L2591" s="1">
        <v>4.0300000000000002E-2</v>
      </c>
      <c r="O2591">
        <v>36</v>
      </c>
      <c r="P2591">
        <v>150</v>
      </c>
      <c r="Q2591">
        <v>2633</v>
      </c>
    </row>
    <row r="2592" spans="1:17" x14ac:dyDescent="0.25">
      <c r="A2592" t="s">
        <v>199</v>
      </c>
      <c r="B2592" t="s">
        <v>203</v>
      </c>
      <c r="C2592" t="s">
        <v>228</v>
      </c>
      <c r="D2592" t="s">
        <v>767</v>
      </c>
      <c r="E2592" s="1">
        <v>0.93600000000000005</v>
      </c>
      <c r="F2592" s="1">
        <v>0.42730000000000001</v>
      </c>
      <c r="G2592" s="1">
        <v>0.76770000000000005</v>
      </c>
      <c r="H2592" s="1">
        <v>0.79049999999999998</v>
      </c>
      <c r="I2592" s="1">
        <v>0.90939999999999999</v>
      </c>
      <c r="J2592" s="1">
        <v>0.63519999999999999</v>
      </c>
      <c r="K2592" s="1">
        <v>0.7248</v>
      </c>
      <c r="L2592" s="1">
        <v>0.9133</v>
      </c>
      <c r="M2592" s="1">
        <v>0.89729999999999999</v>
      </c>
      <c r="N2592" s="1">
        <v>0.98450000000000004</v>
      </c>
      <c r="O2592">
        <v>36</v>
      </c>
      <c r="P2592">
        <v>150</v>
      </c>
      <c r="Q2592">
        <v>2633</v>
      </c>
    </row>
    <row r="2593" spans="1:17" x14ac:dyDescent="0.25">
      <c r="A2593" t="s">
        <v>199</v>
      </c>
      <c r="B2593" t="s">
        <v>203</v>
      </c>
      <c r="C2593" t="s">
        <v>228</v>
      </c>
      <c r="D2593" t="s">
        <v>768</v>
      </c>
      <c r="E2593" s="1">
        <v>4.4999999999999998E-2</v>
      </c>
      <c r="F2593" s="1">
        <v>0.1075</v>
      </c>
      <c r="G2593" s="1">
        <v>1.5299999999999999E-2</v>
      </c>
      <c r="H2593" s="1">
        <v>7.9200000000000007E-2</v>
      </c>
      <c r="I2593" s="1">
        <v>7.1800000000000003E-2</v>
      </c>
      <c r="J2593" s="1">
        <v>8.9999999999999998E-4</v>
      </c>
      <c r="K2593" s="1">
        <v>0.24340000000000001</v>
      </c>
      <c r="L2593" s="1">
        <v>4.6399999999999997E-2</v>
      </c>
      <c r="M2593" s="1">
        <v>3.2099999999999997E-2</v>
      </c>
      <c r="N2593" s="1">
        <v>1.0699999999999999E-2</v>
      </c>
      <c r="O2593">
        <v>36</v>
      </c>
      <c r="P2593">
        <v>150</v>
      </c>
      <c r="Q2593">
        <v>2633</v>
      </c>
    </row>
    <row r="2594" spans="1:17" x14ac:dyDescent="0.25">
      <c r="A2594" t="s">
        <v>199</v>
      </c>
      <c r="B2594" t="s">
        <v>203</v>
      </c>
      <c r="C2594" t="s">
        <v>228</v>
      </c>
      <c r="D2594" t="s">
        <v>208</v>
      </c>
      <c r="E2594" s="1">
        <v>1.4200000000000001E-2</v>
      </c>
      <c r="F2594" s="1">
        <v>0.43890000000000001</v>
      </c>
      <c r="G2594" s="1">
        <v>0.217</v>
      </c>
      <c r="H2594" s="1">
        <v>0.1303</v>
      </c>
      <c r="I2594" s="1">
        <v>1.21E-2</v>
      </c>
      <c r="J2594" s="1">
        <v>0.3639</v>
      </c>
      <c r="K2594" s="1">
        <v>3.1800000000000002E-2</v>
      </c>
      <c r="M2594" s="1">
        <v>7.0599999999999996E-2</v>
      </c>
      <c r="N2594" s="1">
        <v>4.7999999999999996E-3</v>
      </c>
      <c r="O2594">
        <v>36</v>
      </c>
      <c r="P2594">
        <v>150</v>
      </c>
      <c r="Q2594">
        <v>2633</v>
      </c>
    </row>
    <row r="2595" spans="1:17" x14ac:dyDescent="0.25">
      <c r="A2595" t="s">
        <v>199</v>
      </c>
      <c r="B2595" t="s">
        <v>203</v>
      </c>
      <c r="C2595" t="s">
        <v>229</v>
      </c>
      <c r="D2595" t="s">
        <v>766</v>
      </c>
      <c r="E2595" s="1">
        <v>4.1000000000000003E-3</v>
      </c>
      <c r="F2595" s="1">
        <v>3.2399999999999998E-2</v>
      </c>
      <c r="H2595" s="1">
        <v>5.9999999999999995E-4</v>
      </c>
      <c r="I2595" s="1">
        <v>8.3000000000000001E-3</v>
      </c>
      <c r="J2595" s="1">
        <v>7.1999999999999998E-3</v>
      </c>
      <c r="K2595" s="1">
        <v>1.8E-3</v>
      </c>
      <c r="L2595" s="1">
        <v>1.1000000000000001E-3</v>
      </c>
      <c r="M2595" s="1">
        <v>5.9999999999999995E-4</v>
      </c>
      <c r="O2595">
        <v>303</v>
      </c>
      <c r="P2595">
        <v>370</v>
      </c>
      <c r="Q2595">
        <v>2633</v>
      </c>
    </row>
    <row r="2596" spans="1:17" x14ac:dyDescent="0.25">
      <c r="A2596" t="s">
        <v>199</v>
      </c>
      <c r="B2596" t="s">
        <v>203</v>
      </c>
      <c r="C2596" t="s">
        <v>229</v>
      </c>
      <c r="D2596" t="s">
        <v>767</v>
      </c>
      <c r="E2596" s="1">
        <v>0.93010000000000004</v>
      </c>
      <c r="F2596" s="1">
        <v>0.48549999999999999</v>
      </c>
      <c r="G2596" s="1">
        <v>0.93569999999999998</v>
      </c>
      <c r="H2596" s="1">
        <v>0.67889999999999995</v>
      </c>
      <c r="I2596" s="1">
        <v>0.84940000000000004</v>
      </c>
      <c r="J2596" s="1">
        <v>0.78469999999999995</v>
      </c>
      <c r="K2596" s="1">
        <v>0.74980000000000002</v>
      </c>
      <c r="L2596" s="1">
        <v>0.95240000000000002</v>
      </c>
      <c r="M2596" s="1">
        <v>0.95569999999999999</v>
      </c>
      <c r="N2596" s="1">
        <v>0.99350000000000005</v>
      </c>
      <c r="O2596">
        <v>303</v>
      </c>
      <c r="P2596">
        <v>370</v>
      </c>
      <c r="Q2596">
        <v>2633</v>
      </c>
    </row>
    <row r="2597" spans="1:17" x14ac:dyDescent="0.25">
      <c r="A2597" t="s">
        <v>199</v>
      </c>
      <c r="B2597" t="s">
        <v>203</v>
      </c>
      <c r="C2597" t="s">
        <v>229</v>
      </c>
      <c r="D2597" t="s">
        <v>768</v>
      </c>
      <c r="E2597" s="1">
        <v>2.7900000000000001E-2</v>
      </c>
      <c r="F2597" s="1">
        <v>6.4100000000000004E-2</v>
      </c>
      <c r="G2597" s="1">
        <v>1.8E-3</v>
      </c>
      <c r="H2597" s="1">
        <v>7.2700000000000001E-2</v>
      </c>
      <c r="I2597" s="1">
        <v>0.1051</v>
      </c>
      <c r="J2597" s="1">
        <v>7.0000000000000001E-3</v>
      </c>
      <c r="K2597" s="1">
        <v>0.21379999999999999</v>
      </c>
      <c r="L2597" s="1">
        <v>4.5199999999999997E-2</v>
      </c>
      <c r="M2597" s="1">
        <v>2.6499999999999999E-2</v>
      </c>
      <c r="N2597" s="1">
        <v>4.5999999999999999E-3</v>
      </c>
      <c r="O2597">
        <v>303</v>
      </c>
      <c r="P2597">
        <v>370</v>
      </c>
      <c r="Q2597">
        <v>2633</v>
      </c>
    </row>
    <row r="2598" spans="1:17" x14ac:dyDescent="0.25">
      <c r="A2598" t="s">
        <v>199</v>
      </c>
      <c r="B2598" t="s">
        <v>203</v>
      </c>
      <c r="C2598" t="s">
        <v>229</v>
      </c>
      <c r="D2598" t="s">
        <v>208</v>
      </c>
      <c r="E2598" s="1">
        <v>3.7900000000000003E-2</v>
      </c>
      <c r="F2598" s="1">
        <v>0.41799999999999998</v>
      </c>
      <c r="G2598" s="1">
        <v>6.2399999999999997E-2</v>
      </c>
      <c r="H2598" s="1">
        <v>0.24779999999999999</v>
      </c>
      <c r="I2598" s="1">
        <v>3.7199999999999997E-2</v>
      </c>
      <c r="J2598" s="1">
        <v>0.2011</v>
      </c>
      <c r="K2598" s="1">
        <v>3.4599999999999999E-2</v>
      </c>
      <c r="L2598" s="1">
        <v>1.2999999999999999E-3</v>
      </c>
      <c r="M2598" s="1">
        <v>1.7100000000000001E-2</v>
      </c>
      <c r="N2598" s="1">
        <v>1.8E-3</v>
      </c>
      <c r="O2598">
        <v>303</v>
      </c>
      <c r="P2598">
        <v>370</v>
      </c>
      <c r="Q2598">
        <v>2633</v>
      </c>
    </row>
    <row r="2599" spans="1:17" x14ac:dyDescent="0.25">
      <c r="A2599" t="s">
        <v>200</v>
      </c>
      <c r="B2599" t="s">
        <v>203</v>
      </c>
      <c r="C2599" t="s">
        <v>228</v>
      </c>
      <c r="D2599" t="s">
        <v>766</v>
      </c>
      <c r="E2599" s="1">
        <v>3.9300000000000002E-2</v>
      </c>
      <c r="F2599" s="1">
        <v>5.5999999999999999E-3</v>
      </c>
      <c r="H2599" s="1">
        <v>1.0200000000000001E-2</v>
      </c>
      <c r="I2599" s="1">
        <v>2.07E-2</v>
      </c>
      <c r="J2599" s="1">
        <v>4.0000000000000002E-4</v>
      </c>
      <c r="O2599">
        <v>154</v>
      </c>
      <c r="P2599">
        <v>155</v>
      </c>
      <c r="Q2599">
        <v>2633</v>
      </c>
    </row>
    <row r="2600" spans="1:17" x14ac:dyDescent="0.25">
      <c r="A2600" t="s">
        <v>200</v>
      </c>
      <c r="B2600" t="s">
        <v>203</v>
      </c>
      <c r="C2600" t="s">
        <v>228</v>
      </c>
      <c r="D2600" t="s">
        <v>767</v>
      </c>
      <c r="E2600" s="1">
        <v>0.8952</v>
      </c>
      <c r="F2600" s="1">
        <v>0.68969999999999998</v>
      </c>
      <c r="G2600" s="1">
        <v>0.9405</v>
      </c>
      <c r="H2600" s="1">
        <v>0.70230000000000004</v>
      </c>
      <c r="I2600" s="1">
        <v>0.85070000000000001</v>
      </c>
      <c r="J2600" s="1">
        <v>0.83850000000000002</v>
      </c>
      <c r="K2600" s="1">
        <v>0.88460000000000005</v>
      </c>
      <c r="L2600" s="1">
        <v>0.86339999999999995</v>
      </c>
      <c r="M2600" s="1">
        <v>0.95399999999999996</v>
      </c>
      <c r="N2600" s="1">
        <v>0.98140000000000005</v>
      </c>
      <c r="O2600">
        <v>154</v>
      </c>
      <c r="P2600">
        <v>155</v>
      </c>
      <c r="Q2600">
        <v>2633</v>
      </c>
    </row>
    <row r="2601" spans="1:17" x14ac:dyDescent="0.25">
      <c r="A2601" t="s">
        <v>200</v>
      </c>
      <c r="B2601" t="s">
        <v>203</v>
      </c>
      <c r="C2601" t="s">
        <v>228</v>
      </c>
      <c r="D2601" t="s">
        <v>768</v>
      </c>
      <c r="E2601" s="1">
        <v>4.0099999999999997E-2</v>
      </c>
      <c r="F2601" s="1">
        <v>0.1283</v>
      </c>
      <c r="G2601" s="1">
        <v>1.0200000000000001E-2</v>
      </c>
      <c r="H2601" s="1">
        <v>6.0100000000000001E-2</v>
      </c>
      <c r="I2601" s="1">
        <v>9.5399999999999999E-2</v>
      </c>
      <c r="J2601" s="1">
        <v>2.0999999999999999E-3</v>
      </c>
      <c r="K2601" s="1">
        <v>0.10390000000000001</v>
      </c>
      <c r="L2601" s="1">
        <v>0.12640000000000001</v>
      </c>
      <c r="M2601" s="1">
        <v>2.2499999999999999E-2</v>
      </c>
      <c r="N2601" s="1">
        <v>1.8599999999999998E-2</v>
      </c>
      <c r="O2601">
        <v>154</v>
      </c>
      <c r="P2601">
        <v>155</v>
      </c>
      <c r="Q2601">
        <v>2633</v>
      </c>
    </row>
    <row r="2602" spans="1:17" x14ac:dyDescent="0.25">
      <c r="A2602" t="s">
        <v>200</v>
      </c>
      <c r="B2602" t="s">
        <v>203</v>
      </c>
      <c r="C2602" t="s">
        <v>228</v>
      </c>
      <c r="D2602" t="s">
        <v>208</v>
      </c>
      <c r="E2602" s="1">
        <v>2.5399999999999999E-2</v>
      </c>
      <c r="F2602" s="1">
        <v>0.1764</v>
      </c>
      <c r="G2602" s="1">
        <v>4.9299999999999997E-2</v>
      </c>
      <c r="H2602" s="1">
        <v>0.22739999999999999</v>
      </c>
      <c r="I2602" s="1">
        <v>3.3099999999999997E-2</v>
      </c>
      <c r="J2602" s="1">
        <v>0.15890000000000001</v>
      </c>
      <c r="K2602" s="1">
        <v>1.15E-2</v>
      </c>
      <c r="L2602" s="1">
        <v>1.0200000000000001E-2</v>
      </c>
      <c r="M2602" s="1">
        <v>2.35E-2</v>
      </c>
      <c r="O2602">
        <v>154</v>
      </c>
      <c r="P2602">
        <v>155</v>
      </c>
      <c r="Q2602">
        <v>2633</v>
      </c>
    </row>
    <row r="2603" spans="1:17" x14ac:dyDescent="0.25">
      <c r="A2603" t="s">
        <v>200</v>
      </c>
      <c r="B2603" t="s">
        <v>203</v>
      </c>
      <c r="C2603" t="s">
        <v>229</v>
      </c>
      <c r="D2603" t="s">
        <v>766</v>
      </c>
      <c r="E2603" s="1">
        <v>2.0000000000000001E-4</v>
      </c>
      <c r="F2603" s="1">
        <v>4.1099999999999998E-2</v>
      </c>
      <c r="G2603" s="1">
        <v>5.9999999999999995E-4</v>
      </c>
      <c r="H2603" s="1">
        <v>3.5999999999999999E-3</v>
      </c>
      <c r="I2603" s="1">
        <v>1E-4</v>
      </c>
      <c r="J2603" s="1">
        <v>1.2500000000000001E-2</v>
      </c>
      <c r="L2603" s="1">
        <v>1E-4</v>
      </c>
      <c r="N2603" s="1">
        <v>5.0000000000000001E-4</v>
      </c>
      <c r="O2603">
        <v>643</v>
      </c>
      <c r="P2603">
        <v>347</v>
      </c>
      <c r="Q2603">
        <v>2633</v>
      </c>
    </row>
    <row r="2604" spans="1:17" x14ac:dyDescent="0.25">
      <c r="A2604" t="s">
        <v>200</v>
      </c>
      <c r="B2604" t="s">
        <v>203</v>
      </c>
      <c r="C2604" t="s">
        <v>229</v>
      </c>
      <c r="D2604" t="s">
        <v>767</v>
      </c>
      <c r="E2604" s="1">
        <v>0.94510000000000005</v>
      </c>
      <c r="F2604" s="1">
        <v>0.69359999999999999</v>
      </c>
      <c r="G2604" s="1">
        <v>0.9486</v>
      </c>
      <c r="H2604" s="1">
        <v>0.77929999999999999</v>
      </c>
      <c r="I2604" s="1">
        <v>0.83020000000000005</v>
      </c>
      <c r="J2604" s="1">
        <v>0.86150000000000004</v>
      </c>
      <c r="K2604" s="1">
        <v>0.78779999999999994</v>
      </c>
      <c r="L2604" s="1">
        <v>0.83979999999999999</v>
      </c>
      <c r="M2604" s="1">
        <v>0.94569999999999999</v>
      </c>
      <c r="N2604" s="1">
        <v>0.94769999999999999</v>
      </c>
      <c r="O2604">
        <v>643</v>
      </c>
      <c r="P2604">
        <v>347</v>
      </c>
      <c r="Q2604">
        <v>2633</v>
      </c>
    </row>
    <row r="2605" spans="1:17" x14ac:dyDescent="0.25">
      <c r="A2605" t="s">
        <v>200</v>
      </c>
      <c r="B2605" t="s">
        <v>203</v>
      </c>
      <c r="C2605" t="s">
        <v>229</v>
      </c>
      <c r="D2605" t="s">
        <v>768</v>
      </c>
      <c r="E2605" s="1">
        <v>3.95E-2</v>
      </c>
      <c r="F2605" s="1">
        <v>9.1899999999999996E-2</v>
      </c>
      <c r="G2605" s="1">
        <v>2.2599999999999999E-2</v>
      </c>
      <c r="H2605" s="1">
        <v>9.2100000000000001E-2</v>
      </c>
      <c r="I2605" s="1">
        <v>0.1673</v>
      </c>
      <c r="J2605" s="1">
        <v>4.0800000000000003E-2</v>
      </c>
      <c r="K2605" s="1">
        <v>0.19339999999999999</v>
      </c>
      <c r="L2605" s="1">
        <v>0.14610000000000001</v>
      </c>
      <c r="M2605" s="1">
        <v>4.8800000000000003E-2</v>
      </c>
      <c r="N2605" s="1">
        <v>4.9799999999999997E-2</v>
      </c>
      <c r="O2605">
        <v>643</v>
      </c>
      <c r="P2605">
        <v>347</v>
      </c>
      <c r="Q2605">
        <v>2633</v>
      </c>
    </row>
    <row r="2606" spans="1:17" x14ac:dyDescent="0.25">
      <c r="A2606" t="s">
        <v>200</v>
      </c>
      <c r="B2606" t="s">
        <v>203</v>
      </c>
      <c r="C2606" t="s">
        <v>229</v>
      </c>
      <c r="D2606" t="s">
        <v>208</v>
      </c>
      <c r="E2606" s="1">
        <v>1.52E-2</v>
      </c>
      <c r="F2606" s="1">
        <v>0.1734</v>
      </c>
      <c r="G2606" s="1">
        <v>2.81E-2</v>
      </c>
      <c r="H2606" s="1">
        <v>0.1249</v>
      </c>
      <c r="I2606" s="1">
        <v>2.3E-3</v>
      </c>
      <c r="J2606" s="1">
        <v>8.5300000000000001E-2</v>
      </c>
      <c r="K2606" s="1">
        <v>1.8800000000000001E-2</v>
      </c>
      <c r="L2606" s="1">
        <v>1.4E-2</v>
      </c>
      <c r="M2606" s="1">
        <v>5.4999999999999997E-3</v>
      </c>
      <c r="N2606" s="1">
        <v>2E-3</v>
      </c>
      <c r="O2606">
        <v>643</v>
      </c>
      <c r="P2606">
        <v>347</v>
      </c>
      <c r="Q2606">
        <v>2633</v>
      </c>
    </row>
    <row r="2607" spans="1:17" x14ac:dyDescent="0.25">
      <c r="A2607" t="s">
        <v>201</v>
      </c>
      <c r="B2607" t="s">
        <v>203</v>
      </c>
      <c r="C2607" t="s">
        <v>228</v>
      </c>
      <c r="D2607" t="s">
        <v>766</v>
      </c>
      <c r="E2607" s="1">
        <v>9.4999999999999998E-3</v>
      </c>
      <c r="F2607" s="1">
        <v>0.1163</v>
      </c>
      <c r="G2607" s="1">
        <v>6.1000000000000004E-3</v>
      </c>
      <c r="H2607" s="1">
        <v>1.7399999999999999E-2</v>
      </c>
      <c r="I2607" s="1">
        <v>2.9399999999999999E-2</v>
      </c>
      <c r="K2607" s="1">
        <v>1.26E-2</v>
      </c>
      <c r="O2607">
        <v>34</v>
      </c>
      <c r="P2607">
        <v>177</v>
      </c>
      <c r="Q2607">
        <v>2633</v>
      </c>
    </row>
    <row r="2608" spans="1:17" x14ac:dyDescent="0.25">
      <c r="A2608" t="s">
        <v>201</v>
      </c>
      <c r="B2608" t="s">
        <v>203</v>
      </c>
      <c r="C2608" t="s">
        <v>228</v>
      </c>
      <c r="D2608" t="s">
        <v>767</v>
      </c>
      <c r="E2608" s="1">
        <v>0.82769999999999999</v>
      </c>
      <c r="F2608" s="1">
        <v>0.3997</v>
      </c>
      <c r="G2608" s="1">
        <v>0.78439999999999999</v>
      </c>
      <c r="H2608" s="1">
        <v>0.70569999999999999</v>
      </c>
      <c r="I2608" s="1">
        <v>0.75980000000000003</v>
      </c>
      <c r="J2608" s="1">
        <v>0.81110000000000004</v>
      </c>
      <c r="K2608" s="1">
        <v>0.68510000000000004</v>
      </c>
      <c r="L2608" s="1">
        <v>0.95469999999999999</v>
      </c>
      <c r="M2608" s="1">
        <v>0.90349999999999997</v>
      </c>
      <c r="N2608" s="1">
        <v>0.95709999999999995</v>
      </c>
      <c r="O2608">
        <v>34</v>
      </c>
      <c r="P2608">
        <v>177</v>
      </c>
      <c r="Q2608">
        <v>2633</v>
      </c>
    </row>
    <row r="2609" spans="1:17" x14ac:dyDescent="0.25">
      <c r="A2609" t="s">
        <v>201</v>
      </c>
      <c r="B2609" t="s">
        <v>203</v>
      </c>
      <c r="C2609" t="s">
        <v>228</v>
      </c>
      <c r="D2609" t="s">
        <v>768</v>
      </c>
      <c r="E2609" s="1">
        <v>3.09E-2</v>
      </c>
      <c r="F2609" s="1">
        <v>0.13500000000000001</v>
      </c>
      <c r="G2609" s="1">
        <v>1.6000000000000001E-3</v>
      </c>
      <c r="H2609" s="1">
        <v>0.1002</v>
      </c>
      <c r="I2609" s="1">
        <v>0.1104</v>
      </c>
      <c r="J2609" s="1">
        <v>2.3099999999999999E-2</v>
      </c>
      <c r="K2609" s="1">
        <v>0.26140000000000002</v>
      </c>
      <c r="L2609" s="1">
        <v>4.53E-2</v>
      </c>
      <c r="M2609" s="1">
        <v>5.96E-2</v>
      </c>
      <c r="N2609" s="1">
        <v>4.2900000000000001E-2</v>
      </c>
      <c r="O2609">
        <v>34</v>
      </c>
      <c r="P2609">
        <v>177</v>
      </c>
      <c r="Q2609">
        <v>2633</v>
      </c>
    </row>
    <row r="2610" spans="1:17" x14ac:dyDescent="0.25">
      <c r="A2610" t="s">
        <v>201</v>
      </c>
      <c r="B2610" t="s">
        <v>203</v>
      </c>
      <c r="C2610" t="s">
        <v>228</v>
      </c>
      <c r="D2610" t="s">
        <v>208</v>
      </c>
      <c r="E2610" s="1">
        <v>0.13189999999999999</v>
      </c>
      <c r="F2610" s="1">
        <v>0.34899999999999998</v>
      </c>
      <c r="G2610" s="1">
        <v>0.20780000000000001</v>
      </c>
      <c r="H2610" s="1">
        <v>0.1767</v>
      </c>
      <c r="I2610" s="1">
        <v>0.10050000000000001</v>
      </c>
      <c r="J2610" s="1">
        <v>0.1658</v>
      </c>
      <c r="K2610" s="1">
        <v>4.0899999999999999E-2</v>
      </c>
      <c r="M2610" s="1">
        <v>3.6999999999999998E-2</v>
      </c>
      <c r="O2610">
        <v>34</v>
      </c>
      <c r="P2610">
        <v>177</v>
      </c>
      <c r="Q2610">
        <v>2633</v>
      </c>
    </row>
    <row r="2611" spans="1:17" x14ac:dyDescent="0.25">
      <c r="A2611" t="s">
        <v>201</v>
      </c>
      <c r="B2611" t="s">
        <v>203</v>
      </c>
      <c r="C2611" t="s">
        <v>229</v>
      </c>
      <c r="D2611" t="s">
        <v>766</v>
      </c>
      <c r="E2611" s="1">
        <v>1.0699999999999999E-2</v>
      </c>
      <c r="F2611" s="1">
        <v>1.37E-2</v>
      </c>
      <c r="H2611" s="1">
        <v>6.8599999999999994E-2</v>
      </c>
      <c r="I2611" s="1">
        <v>1.66E-2</v>
      </c>
      <c r="J2611" s="1">
        <v>2.9499999999999998E-2</v>
      </c>
      <c r="L2611" s="1">
        <v>2.3900000000000001E-2</v>
      </c>
      <c r="O2611">
        <v>107</v>
      </c>
      <c r="P2611">
        <v>137</v>
      </c>
      <c r="Q2611">
        <v>2633</v>
      </c>
    </row>
    <row r="2612" spans="1:17" x14ac:dyDescent="0.25">
      <c r="A2612" t="s">
        <v>201</v>
      </c>
      <c r="B2612" t="s">
        <v>203</v>
      </c>
      <c r="C2612" t="s">
        <v>229</v>
      </c>
      <c r="D2612" t="s">
        <v>767</v>
      </c>
      <c r="E2612" s="1">
        <v>0.94359999999999999</v>
      </c>
      <c r="F2612" s="1">
        <v>0.64480000000000004</v>
      </c>
      <c r="G2612" s="1">
        <v>0.96699999999999997</v>
      </c>
      <c r="H2612" s="1">
        <v>0.78200000000000003</v>
      </c>
      <c r="I2612" s="1">
        <v>0.96089999999999998</v>
      </c>
      <c r="J2612" s="1">
        <v>0.81189999999999996</v>
      </c>
      <c r="K2612" s="1">
        <v>0.79949999999999999</v>
      </c>
      <c r="L2612" s="1">
        <v>0.92469999999999997</v>
      </c>
      <c r="M2612" s="1">
        <v>0.97019999999999995</v>
      </c>
      <c r="N2612" s="1">
        <v>0.95679999999999998</v>
      </c>
      <c r="O2612">
        <v>107</v>
      </c>
      <c r="P2612">
        <v>137</v>
      </c>
      <c r="Q2612">
        <v>2633</v>
      </c>
    </row>
    <row r="2613" spans="1:17" x14ac:dyDescent="0.25">
      <c r="A2613" t="s">
        <v>201</v>
      </c>
      <c r="B2613" t="s">
        <v>203</v>
      </c>
      <c r="C2613" t="s">
        <v>229</v>
      </c>
      <c r="D2613" t="s">
        <v>768</v>
      </c>
      <c r="E2613" s="1">
        <v>3.61E-2</v>
      </c>
      <c r="F2613" s="1">
        <v>3.2199999999999999E-2</v>
      </c>
      <c r="G2613" s="1">
        <v>1.9800000000000002E-2</v>
      </c>
      <c r="H2613" s="1">
        <v>1.47E-2</v>
      </c>
      <c r="I2613" s="1">
        <v>2.1000000000000001E-2</v>
      </c>
      <c r="J2613" s="1">
        <v>1.5E-3</v>
      </c>
      <c r="K2613" s="1">
        <v>0.17510000000000001</v>
      </c>
      <c r="L2613" s="1">
        <v>5.1299999999999998E-2</v>
      </c>
      <c r="M2613" s="1">
        <v>1.41E-2</v>
      </c>
      <c r="N2613" s="1">
        <v>2.8400000000000002E-2</v>
      </c>
      <c r="O2613">
        <v>107</v>
      </c>
      <c r="P2613">
        <v>137</v>
      </c>
      <c r="Q2613">
        <v>2633</v>
      </c>
    </row>
    <row r="2614" spans="1:17" x14ac:dyDescent="0.25">
      <c r="A2614" t="s">
        <v>201</v>
      </c>
      <c r="B2614" t="s">
        <v>203</v>
      </c>
      <c r="C2614" t="s">
        <v>229</v>
      </c>
      <c r="D2614" t="s">
        <v>208</v>
      </c>
      <c r="E2614" s="1">
        <v>9.5999999999999992E-3</v>
      </c>
      <c r="F2614" s="1">
        <v>0.30919999999999997</v>
      </c>
      <c r="G2614" s="1">
        <v>1.32E-2</v>
      </c>
      <c r="H2614" s="1">
        <v>0.13469999999999999</v>
      </c>
      <c r="I2614" s="1">
        <v>1.5E-3</v>
      </c>
      <c r="J2614" s="1">
        <v>0.15709999999999999</v>
      </c>
      <c r="K2614" s="1">
        <v>2.5399999999999999E-2</v>
      </c>
      <c r="M2614" s="1">
        <v>1.5699999999999999E-2</v>
      </c>
      <c r="N2614" s="1">
        <v>1.4800000000000001E-2</v>
      </c>
      <c r="O2614">
        <v>107</v>
      </c>
      <c r="P2614">
        <v>137</v>
      </c>
      <c r="Q2614">
        <v>2633</v>
      </c>
    </row>
    <row r="2615" spans="1:17" x14ac:dyDescent="0.25">
      <c r="A2615" t="s">
        <v>202</v>
      </c>
      <c r="B2615" t="s">
        <v>203</v>
      </c>
      <c r="C2615" t="s">
        <v>228</v>
      </c>
      <c r="D2615" t="s">
        <v>767</v>
      </c>
      <c r="E2615" s="1">
        <v>1</v>
      </c>
      <c r="F2615" s="1">
        <v>0.55030000000000001</v>
      </c>
      <c r="G2615" s="1">
        <v>1</v>
      </c>
      <c r="H2615" s="1">
        <v>0.74219999999999997</v>
      </c>
      <c r="I2615" s="1">
        <v>0.94289999999999996</v>
      </c>
      <c r="J2615" s="1">
        <v>0.82350000000000001</v>
      </c>
      <c r="K2615" s="1">
        <v>0.88200000000000001</v>
      </c>
      <c r="L2615" s="1">
        <v>1</v>
      </c>
      <c r="M2615" s="1">
        <v>0.96930000000000005</v>
      </c>
      <c r="N2615" s="1">
        <v>0.98680000000000001</v>
      </c>
      <c r="O2615">
        <v>37</v>
      </c>
      <c r="P2615">
        <v>34</v>
      </c>
      <c r="Q2615">
        <v>2633</v>
      </c>
    </row>
    <row r="2616" spans="1:17" x14ac:dyDescent="0.25">
      <c r="A2616" t="s">
        <v>202</v>
      </c>
      <c r="B2616" t="s">
        <v>203</v>
      </c>
      <c r="C2616" t="s">
        <v>229</v>
      </c>
      <c r="D2616" t="s">
        <v>767</v>
      </c>
      <c r="E2616" s="1">
        <v>0.96699999999999997</v>
      </c>
      <c r="F2616" s="1">
        <v>0.77780000000000005</v>
      </c>
      <c r="G2616" s="1">
        <v>0.97750000000000004</v>
      </c>
      <c r="H2616" s="1">
        <v>0.86599999999999999</v>
      </c>
      <c r="I2616" s="1">
        <v>0.90600000000000003</v>
      </c>
      <c r="J2616" s="1">
        <v>0.83779999999999999</v>
      </c>
      <c r="K2616" s="1">
        <v>0.91220000000000001</v>
      </c>
      <c r="L2616" s="1">
        <v>0.93120000000000003</v>
      </c>
      <c r="M2616" s="1">
        <v>0.93430000000000002</v>
      </c>
      <c r="N2616" s="1">
        <v>0.97060000000000002</v>
      </c>
      <c r="O2616">
        <v>94</v>
      </c>
      <c r="P2616">
        <v>56</v>
      </c>
      <c r="Q2616">
        <v>2633</v>
      </c>
    </row>
    <row r="2617" spans="1:17" x14ac:dyDescent="0.25">
      <c r="A2617" t="s">
        <v>202</v>
      </c>
      <c r="B2617" t="s">
        <v>203</v>
      </c>
      <c r="C2617" t="s">
        <v>229</v>
      </c>
      <c r="D2617" t="s">
        <v>768</v>
      </c>
      <c r="E2617" s="1">
        <v>1.43E-2</v>
      </c>
      <c r="F2617" s="1">
        <v>3.4700000000000002E-2</v>
      </c>
      <c r="H2617" s="1">
        <v>8.3999999999999995E-3</v>
      </c>
      <c r="I2617" s="1">
        <v>5.4800000000000001E-2</v>
      </c>
      <c r="K2617" s="1">
        <v>5.9200000000000003E-2</v>
      </c>
      <c r="L2617" s="1">
        <v>6.88E-2</v>
      </c>
      <c r="M2617" s="1">
        <v>8.3000000000000001E-3</v>
      </c>
      <c r="N2617" s="1">
        <v>8.3000000000000001E-3</v>
      </c>
      <c r="O2617">
        <v>94</v>
      </c>
      <c r="P2617">
        <v>56</v>
      </c>
      <c r="Q2617">
        <v>2633</v>
      </c>
    </row>
    <row r="2618" spans="1:17" x14ac:dyDescent="0.25">
      <c r="A2618" t="s">
        <v>202</v>
      </c>
      <c r="B2618" t="s">
        <v>203</v>
      </c>
      <c r="C2618" t="s">
        <v>229</v>
      </c>
      <c r="D2618" t="s">
        <v>208</v>
      </c>
      <c r="E2618" s="1">
        <v>1.8800000000000001E-2</v>
      </c>
      <c r="F2618" s="1">
        <v>0.1875</v>
      </c>
      <c r="G2618" s="1">
        <v>2.2499999999999999E-2</v>
      </c>
      <c r="H2618" s="1">
        <v>0.12559999999999999</v>
      </c>
      <c r="I2618" s="1">
        <v>3.1E-2</v>
      </c>
      <c r="J2618" s="1">
        <v>0.16220000000000001</v>
      </c>
      <c r="K2618" s="1">
        <v>2.0400000000000001E-2</v>
      </c>
      <c r="M2618" s="1">
        <v>4.9200000000000001E-2</v>
      </c>
      <c r="N2618" s="1">
        <v>2.12E-2</v>
      </c>
      <c r="O2618">
        <v>94</v>
      </c>
      <c r="P2618">
        <v>56</v>
      </c>
      <c r="Q2618">
        <v>2633</v>
      </c>
    </row>
    <row r="2619" spans="1:17" x14ac:dyDescent="0.25">
      <c r="A2619" t="s">
        <v>204</v>
      </c>
      <c r="B2619" t="s">
        <v>204</v>
      </c>
      <c r="C2619" t="s">
        <v>204</v>
      </c>
      <c r="D2619" t="s">
        <v>766</v>
      </c>
      <c r="E2619" s="1">
        <v>1.0999999999999999E-2</v>
      </c>
      <c r="F2619" s="1">
        <v>6.9900000000000004E-2</v>
      </c>
      <c r="G2619" s="1">
        <v>4.0000000000000001E-3</v>
      </c>
      <c r="H2619" s="1">
        <v>7.9000000000000008E-3</v>
      </c>
      <c r="I2619" s="1">
        <v>9.7999999999999997E-3</v>
      </c>
      <c r="J2619" s="1">
        <v>6.1999999999999998E-3</v>
      </c>
      <c r="K2619" s="1">
        <v>1.2999999999999999E-3</v>
      </c>
      <c r="L2619" s="1">
        <v>6.3E-3</v>
      </c>
      <c r="M2619" s="1">
        <v>1E-3</v>
      </c>
      <c r="N2619" s="1">
        <v>2.9999999999999997E-4</v>
      </c>
      <c r="O2619">
        <v>2633</v>
      </c>
      <c r="P2619">
        <v>2633</v>
      </c>
      <c r="Q2619">
        <v>2633</v>
      </c>
    </row>
    <row r="2620" spans="1:17" x14ac:dyDescent="0.25">
      <c r="A2620" t="s">
        <v>204</v>
      </c>
      <c r="B2620" t="s">
        <v>204</v>
      </c>
      <c r="C2620" t="s">
        <v>204</v>
      </c>
      <c r="D2620" t="s">
        <v>767</v>
      </c>
      <c r="E2620" s="1">
        <v>0.84909999999999997</v>
      </c>
      <c r="F2620" s="1">
        <v>0.49330000000000002</v>
      </c>
      <c r="G2620" s="1">
        <v>0.90210000000000001</v>
      </c>
      <c r="H2620" s="1">
        <v>0.70899999999999996</v>
      </c>
      <c r="I2620" s="1">
        <v>0.78359999999999996</v>
      </c>
      <c r="J2620" s="1">
        <v>0.74</v>
      </c>
      <c r="K2620" s="1">
        <v>0.78490000000000004</v>
      </c>
      <c r="L2620" s="1">
        <v>0.78949999999999998</v>
      </c>
      <c r="M2620" s="1">
        <v>0.91649999999999998</v>
      </c>
      <c r="N2620" s="1">
        <v>0.96540000000000004</v>
      </c>
      <c r="O2620">
        <v>2633</v>
      </c>
      <c r="P2620">
        <v>2633</v>
      </c>
      <c r="Q2620">
        <v>2633</v>
      </c>
    </row>
    <row r="2621" spans="1:17" x14ac:dyDescent="0.25">
      <c r="A2621" t="s">
        <v>204</v>
      </c>
      <c r="B2621" t="s">
        <v>204</v>
      </c>
      <c r="C2621" t="s">
        <v>204</v>
      </c>
      <c r="D2621" t="s">
        <v>768</v>
      </c>
      <c r="E2621" s="1">
        <v>0.1038</v>
      </c>
      <c r="F2621" s="1">
        <v>0.11070000000000001</v>
      </c>
      <c r="G2621" s="1">
        <v>1.46E-2</v>
      </c>
      <c r="H2621" s="1">
        <v>8.3500000000000005E-2</v>
      </c>
      <c r="I2621" s="1">
        <v>0.18679999999999999</v>
      </c>
      <c r="J2621" s="1">
        <v>2.01E-2</v>
      </c>
      <c r="K2621" s="1">
        <v>0.1731</v>
      </c>
      <c r="L2621" s="1">
        <v>0.1988</v>
      </c>
      <c r="M2621" s="1">
        <v>5.0999999999999997E-2</v>
      </c>
      <c r="N2621" s="1">
        <v>2.6200000000000001E-2</v>
      </c>
      <c r="O2621">
        <v>2633</v>
      </c>
      <c r="P2621">
        <v>2633</v>
      </c>
      <c r="Q2621">
        <v>2633</v>
      </c>
    </row>
    <row r="2622" spans="1:17" x14ac:dyDescent="0.25">
      <c r="A2622" t="s">
        <v>204</v>
      </c>
      <c r="B2622" t="s">
        <v>204</v>
      </c>
      <c r="C2622" t="s">
        <v>204</v>
      </c>
      <c r="D2622" t="s">
        <v>208</v>
      </c>
      <c r="E2622" s="1">
        <v>3.5999999999999997E-2</v>
      </c>
      <c r="F2622" s="1">
        <v>0.3261</v>
      </c>
      <c r="G2622" s="1">
        <v>7.9299999999999995E-2</v>
      </c>
      <c r="H2622" s="1">
        <v>0.1996</v>
      </c>
      <c r="I2622" s="1">
        <v>1.9800000000000002E-2</v>
      </c>
      <c r="J2622" s="1">
        <v>0.23369999999999999</v>
      </c>
      <c r="K2622" s="1">
        <v>4.0599999999999997E-2</v>
      </c>
      <c r="L2622" s="1">
        <v>5.4999999999999997E-3</v>
      </c>
      <c r="M2622" s="1">
        <v>3.15E-2</v>
      </c>
      <c r="N2622" s="1">
        <v>8.0999999999999996E-3</v>
      </c>
      <c r="O2622">
        <v>2633</v>
      </c>
      <c r="P2622">
        <v>2633</v>
      </c>
      <c r="Q2622">
        <v>2633</v>
      </c>
    </row>
    <row r="2624" spans="1:17" x14ac:dyDescent="0.25">
      <c r="A2624" t="s">
        <v>770</v>
      </c>
    </row>
    <row r="2625" spans="1:17" x14ac:dyDescent="0.25">
      <c r="A2625" t="s">
        <v>189</v>
      </c>
      <c r="B2625" t="s">
        <v>190</v>
      </c>
      <c r="C2625" t="s">
        <v>206</v>
      </c>
      <c r="D2625" t="s">
        <v>754</v>
      </c>
      <c r="E2625" t="s">
        <v>755</v>
      </c>
      <c r="F2625" t="s">
        <v>756</v>
      </c>
      <c r="G2625" t="s">
        <v>757</v>
      </c>
      <c r="H2625" t="s">
        <v>758</v>
      </c>
      <c r="I2625" t="s">
        <v>759</v>
      </c>
      <c r="J2625" t="s">
        <v>760</v>
      </c>
      <c r="K2625" t="s">
        <v>761</v>
      </c>
      <c r="L2625" t="s">
        <v>762</v>
      </c>
      <c r="M2625" t="s">
        <v>763</v>
      </c>
      <c r="N2625" t="s">
        <v>764</v>
      </c>
      <c r="O2625" t="s">
        <v>765</v>
      </c>
      <c r="P2625" t="s">
        <v>195</v>
      </c>
      <c r="Q2625" t="s">
        <v>196</v>
      </c>
    </row>
    <row r="2626" spans="1:17" x14ac:dyDescent="0.25">
      <c r="A2626" t="s">
        <v>197</v>
      </c>
      <c r="B2626" t="s">
        <v>198</v>
      </c>
      <c r="C2626" t="s">
        <v>348</v>
      </c>
      <c r="D2626" t="s">
        <v>766</v>
      </c>
      <c r="E2626" s="1">
        <v>2.5600000000000001E-2</v>
      </c>
      <c r="F2626" s="1">
        <v>0.1346</v>
      </c>
      <c r="G2626" s="1">
        <v>7.7000000000000002E-3</v>
      </c>
      <c r="H2626" s="1">
        <v>2.9399999999999999E-2</v>
      </c>
      <c r="L2626" s="1">
        <v>4.7199999999999999E-2</v>
      </c>
      <c r="M2626" s="1">
        <v>7.7000000000000002E-3</v>
      </c>
      <c r="O2626">
        <v>164</v>
      </c>
      <c r="P2626">
        <v>79</v>
      </c>
      <c r="Q2626">
        <v>2633</v>
      </c>
    </row>
    <row r="2627" spans="1:17" x14ac:dyDescent="0.25">
      <c r="A2627" t="s">
        <v>197</v>
      </c>
      <c r="B2627" t="s">
        <v>198</v>
      </c>
      <c r="C2627" t="s">
        <v>348</v>
      </c>
      <c r="D2627" t="s">
        <v>767</v>
      </c>
      <c r="E2627" s="1">
        <v>0.75419999999999998</v>
      </c>
      <c r="F2627" s="1">
        <v>0.28439999999999999</v>
      </c>
      <c r="G2627" s="1">
        <v>0.84089999999999998</v>
      </c>
      <c r="H2627" s="1">
        <v>0.66049999999999998</v>
      </c>
      <c r="I2627" s="1">
        <v>0.68469999999999998</v>
      </c>
      <c r="J2627" s="1">
        <v>0.58799999999999997</v>
      </c>
      <c r="K2627" s="1">
        <v>0.76329999999999998</v>
      </c>
      <c r="L2627" s="1">
        <v>0.73109999999999997</v>
      </c>
      <c r="M2627" s="1">
        <v>0.86050000000000004</v>
      </c>
      <c r="N2627" s="1">
        <v>0.97030000000000005</v>
      </c>
      <c r="O2627">
        <v>164</v>
      </c>
      <c r="P2627">
        <v>79</v>
      </c>
      <c r="Q2627">
        <v>2633</v>
      </c>
    </row>
    <row r="2628" spans="1:17" x14ac:dyDescent="0.25">
      <c r="A2628" t="s">
        <v>197</v>
      </c>
      <c r="B2628" t="s">
        <v>198</v>
      </c>
      <c r="C2628" t="s">
        <v>348</v>
      </c>
      <c r="D2628" t="s">
        <v>768</v>
      </c>
      <c r="E2628" s="1">
        <v>0.1384</v>
      </c>
      <c r="F2628" s="1">
        <v>0.2336</v>
      </c>
      <c r="G2628" s="1">
        <v>2.9700000000000001E-2</v>
      </c>
      <c r="H2628" s="1">
        <v>0.1535</v>
      </c>
      <c r="I2628" s="1">
        <v>0.2747</v>
      </c>
      <c r="J2628" s="1">
        <v>3.6999999999999998E-2</v>
      </c>
      <c r="K2628" s="1">
        <v>0.18959999999999999</v>
      </c>
      <c r="L2628" s="1">
        <v>0.22170000000000001</v>
      </c>
      <c r="M2628" s="1">
        <v>0.1061</v>
      </c>
      <c r="N2628" s="1">
        <v>1.55E-2</v>
      </c>
      <c r="O2628">
        <v>164</v>
      </c>
      <c r="P2628">
        <v>79</v>
      </c>
      <c r="Q2628">
        <v>2633</v>
      </c>
    </row>
    <row r="2629" spans="1:17" x14ac:dyDescent="0.25">
      <c r="A2629" t="s">
        <v>197</v>
      </c>
      <c r="B2629" t="s">
        <v>198</v>
      </c>
      <c r="C2629" t="s">
        <v>348</v>
      </c>
      <c r="D2629" t="s">
        <v>208</v>
      </c>
      <c r="E2629" s="1">
        <v>8.1799999999999998E-2</v>
      </c>
      <c r="F2629" s="1">
        <v>0.34749999999999998</v>
      </c>
      <c r="G2629" s="1">
        <v>0.1216</v>
      </c>
      <c r="H2629" s="1">
        <v>0.1565</v>
      </c>
      <c r="I2629" s="1">
        <v>4.07E-2</v>
      </c>
      <c r="J2629" s="1">
        <v>0.375</v>
      </c>
      <c r="K2629" s="1">
        <v>4.7199999999999999E-2</v>
      </c>
      <c r="M2629" s="1">
        <v>2.5600000000000001E-2</v>
      </c>
      <c r="N2629" s="1">
        <v>1.4200000000000001E-2</v>
      </c>
      <c r="O2629">
        <v>164</v>
      </c>
      <c r="P2629">
        <v>79</v>
      </c>
      <c r="Q2629">
        <v>2633</v>
      </c>
    </row>
    <row r="2630" spans="1:17" s="29" customFormat="1" x14ac:dyDescent="0.25">
      <c r="A2630" s="29" t="s">
        <v>197</v>
      </c>
      <c r="B2630" s="29" t="s">
        <v>198</v>
      </c>
      <c r="C2630" s="29" t="s">
        <v>349</v>
      </c>
      <c r="D2630" s="29" t="s">
        <v>767</v>
      </c>
      <c r="E2630" s="30">
        <v>1</v>
      </c>
      <c r="G2630" s="30">
        <v>1</v>
      </c>
      <c r="H2630" s="30">
        <v>0.5</v>
      </c>
      <c r="J2630" s="30">
        <v>0.66669999999999996</v>
      </c>
      <c r="K2630" s="30">
        <v>0.33329999999999999</v>
      </c>
      <c r="L2630" s="30">
        <v>0.33329999999999999</v>
      </c>
      <c r="M2630" s="30">
        <v>1</v>
      </c>
      <c r="N2630" s="30">
        <v>1</v>
      </c>
      <c r="O2630" s="29">
        <v>6</v>
      </c>
      <c r="P2630" s="29">
        <v>3</v>
      </c>
      <c r="Q2630" s="29">
        <v>2633</v>
      </c>
    </row>
    <row r="2631" spans="1:17" x14ac:dyDescent="0.25">
      <c r="A2631" t="s">
        <v>199</v>
      </c>
      <c r="B2631" t="s">
        <v>198</v>
      </c>
      <c r="C2631" t="s">
        <v>348</v>
      </c>
      <c r="D2631" t="s">
        <v>767</v>
      </c>
      <c r="E2631" s="1">
        <v>0.78549999999999998</v>
      </c>
      <c r="F2631" s="1">
        <v>0.4415</v>
      </c>
      <c r="G2631" s="1">
        <v>0.93700000000000006</v>
      </c>
      <c r="H2631" s="1">
        <v>0.88029999999999997</v>
      </c>
      <c r="I2631" s="1">
        <v>0.68589999999999995</v>
      </c>
      <c r="J2631" s="1">
        <v>0.72599999999999998</v>
      </c>
      <c r="K2631" s="1">
        <v>0.55110000000000003</v>
      </c>
      <c r="L2631" s="1">
        <v>0.70299999999999996</v>
      </c>
      <c r="M2631" s="1">
        <v>0.878</v>
      </c>
      <c r="N2631" s="1">
        <v>0.95550000000000002</v>
      </c>
      <c r="O2631">
        <v>45</v>
      </c>
      <c r="P2631">
        <v>54</v>
      </c>
      <c r="Q2631">
        <v>2633</v>
      </c>
    </row>
    <row r="2632" spans="1:17" x14ac:dyDescent="0.25">
      <c r="A2632" t="s">
        <v>199</v>
      </c>
      <c r="B2632" t="s">
        <v>198</v>
      </c>
      <c r="C2632" t="s">
        <v>348</v>
      </c>
      <c r="D2632" t="s">
        <v>768</v>
      </c>
      <c r="E2632" s="1">
        <v>0.2145</v>
      </c>
      <c r="F2632" s="1">
        <v>5.8200000000000002E-2</v>
      </c>
      <c r="G2632" s="1">
        <v>1.09E-2</v>
      </c>
      <c r="H2632" s="1">
        <v>5.33E-2</v>
      </c>
      <c r="I2632" s="1">
        <v>0.31409999999999999</v>
      </c>
      <c r="K2632" s="1">
        <v>0.44890000000000002</v>
      </c>
      <c r="L2632" s="1">
        <v>0.29699999999999999</v>
      </c>
      <c r="M2632" s="1">
        <v>0.1111</v>
      </c>
      <c r="N2632" s="1">
        <v>3.3599999999999998E-2</v>
      </c>
      <c r="O2632">
        <v>45</v>
      </c>
      <c r="P2632">
        <v>54</v>
      </c>
      <c r="Q2632">
        <v>2633</v>
      </c>
    </row>
    <row r="2633" spans="1:17" x14ac:dyDescent="0.25">
      <c r="A2633" t="s">
        <v>199</v>
      </c>
      <c r="B2633" t="s">
        <v>198</v>
      </c>
      <c r="C2633" t="s">
        <v>349</v>
      </c>
      <c r="D2633" t="s">
        <v>766</v>
      </c>
      <c r="E2633" s="1">
        <v>3.8999999999999998E-3</v>
      </c>
      <c r="F2633" s="1">
        <v>0.1193</v>
      </c>
      <c r="G2633" s="1">
        <v>8.8999999999999999E-3</v>
      </c>
      <c r="H2633" s="1">
        <v>1.2800000000000001E-2</v>
      </c>
      <c r="I2633" s="1">
        <v>1.7100000000000001E-2</v>
      </c>
      <c r="J2633" s="1">
        <v>5.7999999999999996E-3</v>
      </c>
      <c r="O2633">
        <v>147</v>
      </c>
      <c r="P2633">
        <v>111</v>
      </c>
      <c r="Q2633">
        <v>2633</v>
      </c>
    </row>
    <row r="2634" spans="1:17" x14ac:dyDescent="0.25">
      <c r="A2634" t="s">
        <v>199</v>
      </c>
      <c r="B2634" t="s">
        <v>198</v>
      </c>
      <c r="C2634" t="s">
        <v>349</v>
      </c>
      <c r="D2634" t="s">
        <v>767</v>
      </c>
      <c r="E2634" s="1">
        <v>0.74990000000000001</v>
      </c>
      <c r="F2634" s="1">
        <v>0.5081</v>
      </c>
      <c r="G2634" s="1">
        <v>0.87070000000000003</v>
      </c>
      <c r="H2634" s="1">
        <v>0.6996</v>
      </c>
      <c r="I2634" s="1">
        <v>0.76190000000000002</v>
      </c>
      <c r="J2634" s="1">
        <v>0.72340000000000004</v>
      </c>
      <c r="K2634" s="1">
        <v>0.71079999999999999</v>
      </c>
      <c r="L2634" s="1">
        <v>0.54479999999999995</v>
      </c>
      <c r="M2634" s="1">
        <v>0.83979999999999999</v>
      </c>
      <c r="N2634" s="1">
        <v>0.99260000000000004</v>
      </c>
      <c r="O2634">
        <v>147</v>
      </c>
      <c r="P2634">
        <v>111</v>
      </c>
      <c r="Q2634">
        <v>2633</v>
      </c>
    </row>
    <row r="2635" spans="1:17" x14ac:dyDescent="0.25">
      <c r="A2635" t="s">
        <v>199</v>
      </c>
      <c r="B2635" t="s">
        <v>198</v>
      </c>
      <c r="C2635" t="s">
        <v>349</v>
      </c>
      <c r="D2635" t="s">
        <v>768</v>
      </c>
      <c r="E2635" s="1">
        <v>0.2016</v>
      </c>
      <c r="F2635" s="1">
        <v>0.19919999999999999</v>
      </c>
      <c r="G2635" s="1">
        <v>2E-3</v>
      </c>
      <c r="H2635" s="1">
        <v>7.22E-2</v>
      </c>
      <c r="I2635" s="1">
        <v>0.21909999999999999</v>
      </c>
      <c r="J2635" s="1">
        <v>8.8999999999999999E-3</v>
      </c>
      <c r="K2635" s="1">
        <v>0.28149999999999997</v>
      </c>
      <c r="L2635" s="1">
        <v>0.45519999999999999</v>
      </c>
      <c r="M2635" s="1">
        <v>8.5900000000000004E-2</v>
      </c>
      <c r="N2635" s="1">
        <v>4.7999999999999996E-3</v>
      </c>
      <c r="O2635">
        <v>147</v>
      </c>
      <c r="P2635">
        <v>111</v>
      </c>
      <c r="Q2635">
        <v>2633</v>
      </c>
    </row>
    <row r="2636" spans="1:17" x14ac:dyDescent="0.25">
      <c r="A2636" t="s">
        <v>199</v>
      </c>
      <c r="B2636" t="s">
        <v>198</v>
      </c>
      <c r="C2636" t="s">
        <v>349</v>
      </c>
      <c r="D2636" t="s">
        <v>208</v>
      </c>
      <c r="E2636" s="1">
        <v>4.4600000000000001E-2</v>
      </c>
      <c r="F2636" s="1">
        <v>0.17330000000000001</v>
      </c>
      <c r="G2636" s="1">
        <v>0.11849999999999999</v>
      </c>
      <c r="H2636" s="1">
        <v>0.21540000000000001</v>
      </c>
      <c r="I2636" s="1">
        <v>2E-3</v>
      </c>
      <c r="J2636" s="1">
        <v>0.26190000000000002</v>
      </c>
      <c r="K2636" s="1">
        <v>7.7000000000000002E-3</v>
      </c>
      <c r="M2636" s="1">
        <v>7.4300000000000005E-2</v>
      </c>
      <c r="N2636" s="1">
        <v>2.5999999999999999E-3</v>
      </c>
      <c r="O2636">
        <v>147</v>
      </c>
      <c r="P2636">
        <v>111</v>
      </c>
      <c r="Q2636">
        <v>2633</v>
      </c>
    </row>
    <row r="2637" spans="1:17" x14ac:dyDescent="0.25">
      <c r="A2637" t="s">
        <v>199</v>
      </c>
      <c r="B2637" t="s">
        <v>198</v>
      </c>
      <c r="C2637" t="s">
        <v>350</v>
      </c>
      <c r="D2637" t="s">
        <v>766</v>
      </c>
      <c r="E2637" s="1">
        <v>4.8999999999999998E-3</v>
      </c>
      <c r="F2637" s="1">
        <v>7.3999999999999996E-2</v>
      </c>
      <c r="G2637" s="1">
        <v>1.1000000000000001E-3</v>
      </c>
      <c r="H2637" s="1">
        <v>3.0000000000000001E-3</v>
      </c>
      <c r="I2637" s="1">
        <v>1.7899999999999999E-2</v>
      </c>
      <c r="J2637" s="1">
        <v>8.0000000000000004E-4</v>
      </c>
      <c r="K2637" s="1">
        <v>4.8999999999999998E-3</v>
      </c>
      <c r="O2637">
        <v>132</v>
      </c>
      <c r="P2637">
        <v>193</v>
      </c>
      <c r="Q2637">
        <v>2633</v>
      </c>
    </row>
    <row r="2638" spans="1:17" x14ac:dyDescent="0.25">
      <c r="A2638" t="s">
        <v>199</v>
      </c>
      <c r="B2638" t="s">
        <v>198</v>
      </c>
      <c r="C2638" t="s">
        <v>350</v>
      </c>
      <c r="D2638" t="s">
        <v>767</v>
      </c>
      <c r="E2638" s="1">
        <v>0.77039999999999997</v>
      </c>
      <c r="F2638" s="1">
        <v>0.26300000000000001</v>
      </c>
      <c r="G2638" s="1">
        <v>0.83589999999999998</v>
      </c>
      <c r="H2638" s="1">
        <v>0.63580000000000003</v>
      </c>
      <c r="I2638" s="1">
        <v>0.55789999999999995</v>
      </c>
      <c r="J2638" s="1">
        <v>0.63900000000000001</v>
      </c>
      <c r="K2638" s="1">
        <v>0.70489999999999997</v>
      </c>
      <c r="L2638" s="1">
        <v>0.5927</v>
      </c>
      <c r="M2638" s="1">
        <v>0.91269999999999996</v>
      </c>
      <c r="N2638" s="1">
        <v>0.97399999999999998</v>
      </c>
      <c r="O2638">
        <v>132</v>
      </c>
      <c r="P2638">
        <v>193</v>
      </c>
      <c r="Q2638">
        <v>2633</v>
      </c>
    </row>
    <row r="2639" spans="1:17" x14ac:dyDescent="0.25">
      <c r="A2639" t="s">
        <v>199</v>
      </c>
      <c r="B2639" t="s">
        <v>198</v>
      </c>
      <c r="C2639" t="s">
        <v>350</v>
      </c>
      <c r="D2639" t="s">
        <v>768</v>
      </c>
      <c r="E2639" s="1">
        <v>0.17510000000000001</v>
      </c>
      <c r="F2639" s="1">
        <v>0.13800000000000001</v>
      </c>
      <c r="G2639" s="1">
        <v>2.7000000000000001E-3</v>
      </c>
      <c r="H2639" s="1">
        <v>9.9199999999999997E-2</v>
      </c>
      <c r="I2639" s="1">
        <v>0.42230000000000001</v>
      </c>
      <c r="J2639" s="1">
        <v>6.4999999999999997E-3</v>
      </c>
      <c r="K2639" s="1">
        <v>0.20219999999999999</v>
      </c>
      <c r="L2639" s="1">
        <v>0.4073</v>
      </c>
      <c r="M2639" s="1">
        <v>5.8200000000000002E-2</v>
      </c>
      <c r="N2639" s="1">
        <v>1.3299999999999999E-2</v>
      </c>
      <c r="O2639">
        <v>132</v>
      </c>
      <c r="P2639">
        <v>193</v>
      </c>
      <c r="Q2639">
        <v>2633</v>
      </c>
    </row>
    <row r="2640" spans="1:17" x14ac:dyDescent="0.25">
      <c r="A2640" t="s">
        <v>199</v>
      </c>
      <c r="B2640" t="s">
        <v>198</v>
      </c>
      <c r="C2640" t="s">
        <v>350</v>
      </c>
      <c r="D2640" t="s">
        <v>208</v>
      </c>
      <c r="E2640" s="1">
        <v>4.9599999999999998E-2</v>
      </c>
      <c r="F2640" s="1">
        <v>0.52500000000000002</v>
      </c>
      <c r="G2640" s="1">
        <v>0.16039999999999999</v>
      </c>
      <c r="H2640" s="1">
        <v>0.2621</v>
      </c>
      <c r="I2640" s="1">
        <v>1.9E-3</v>
      </c>
      <c r="J2640" s="1">
        <v>0.3538</v>
      </c>
      <c r="K2640" s="1">
        <v>8.7999999999999995E-2</v>
      </c>
      <c r="M2640" s="1">
        <v>2.9100000000000001E-2</v>
      </c>
      <c r="N2640" s="1">
        <v>1.2699999999999999E-2</v>
      </c>
      <c r="O2640">
        <v>132</v>
      </c>
      <c r="P2640">
        <v>193</v>
      </c>
      <c r="Q2640">
        <v>2633</v>
      </c>
    </row>
    <row r="2641" spans="1:17" x14ac:dyDescent="0.25">
      <c r="A2641" t="s">
        <v>200</v>
      </c>
      <c r="B2641" t="s">
        <v>198</v>
      </c>
      <c r="C2641" t="s">
        <v>348</v>
      </c>
      <c r="D2641" t="s">
        <v>766</v>
      </c>
      <c r="E2641" s="1">
        <v>1.9800000000000002E-2</v>
      </c>
      <c r="F2641" s="1">
        <v>6.7199999999999996E-2</v>
      </c>
      <c r="G2641" s="1">
        <v>5.3E-3</v>
      </c>
      <c r="I2641" s="1">
        <v>1.7299999999999999E-2</v>
      </c>
      <c r="K2641" s="1">
        <v>2E-3</v>
      </c>
      <c r="O2641">
        <v>282</v>
      </c>
      <c r="P2641">
        <v>242</v>
      </c>
      <c r="Q2641">
        <v>2633</v>
      </c>
    </row>
    <row r="2642" spans="1:17" x14ac:dyDescent="0.25">
      <c r="A2642" t="s">
        <v>200</v>
      </c>
      <c r="B2642" t="s">
        <v>198</v>
      </c>
      <c r="C2642" t="s">
        <v>348</v>
      </c>
      <c r="D2642" t="s">
        <v>767</v>
      </c>
      <c r="E2642" s="1">
        <v>0.72760000000000002</v>
      </c>
      <c r="F2642" s="1">
        <v>0.3241</v>
      </c>
      <c r="G2642" s="1">
        <v>0.87119999999999997</v>
      </c>
      <c r="H2642" s="1">
        <v>0.68920000000000003</v>
      </c>
      <c r="I2642" s="1">
        <v>0.72119999999999995</v>
      </c>
      <c r="J2642" s="1">
        <v>0.64249999999999996</v>
      </c>
      <c r="K2642" s="1">
        <v>0.8024</v>
      </c>
      <c r="L2642" s="1">
        <v>0.68979999999999997</v>
      </c>
      <c r="M2642" s="1">
        <v>0.89070000000000005</v>
      </c>
      <c r="N2642" s="1">
        <v>0.93359999999999999</v>
      </c>
      <c r="O2642">
        <v>282</v>
      </c>
      <c r="P2642">
        <v>242</v>
      </c>
      <c r="Q2642">
        <v>2633</v>
      </c>
    </row>
    <row r="2643" spans="1:17" x14ac:dyDescent="0.25">
      <c r="A2643" t="s">
        <v>200</v>
      </c>
      <c r="B2643" t="s">
        <v>198</v>
      </c>
      <c r="C2643" t="s">
        <v>348</v>
      </c>
      <c r="D2643" t="s">
        <v>768</v>
      </c>
      <c r="E2643" s="1">
        <v>0.2056</v>
      </c>
      <c r="F2643" s="1">
        <v>0.13750000000000001</v>
      </c>
      <c r="G2643" s="1">
        <v>2.8799999999999999E-2</v>
      </c>
      <c r="H2643" s="1">
        <v>7.4499999999999997E-2</v>
      </c>
      <c r="I2643" s="1">
        <v>0.24030000000000001</v>
      </c>
      <c r="J2643" s="1">
        <v>4.2599999999999999E-2</v>
      </c>
      <c r="K2643" s="1">
        <v>0.1401</v>
      </c>
      <c r="L2643" s="1">
        <v>0.29970000000000002</v>
      </c>
      <c r="M2643" s="1">
        <v>6.9500000000000006E-2</v>
      </c>
      <c r="N2643" s="1">
        <v>0.05</v>
      </c>
      <c r="O2643">
        <v>282</v>
      </c>
      <c r="P2643">
        <v>242</v>
      </c>
      <c r="Q2643">
        <v>2633</v>
      </c>
    </row>
    <row r="2644" spans="1:17" x14ac:dyDescent="0.25">
      <c r="A2644" t="s">
        <v>200</v>
      </c>
      <c r="B2644" t="s">
        <v>198</v>
      </c>
      <c r="C2644" t="s">
        <v>348</v>
      </c>
      <c r="D2644" t="s">
        <v>208</v>
      </c>
      <c r="E2644" s="1">
        <v>4.7100000000000003E-2</v>
      </c>
      <c r="F2644" s="1">
        <v>0.47120000000000001</v>
      </c>
      <c r="G2644" s="1">
        <v>9.4700000000000006E-2</v>
      </c>
      <c r="H2644" s="1">
        <v>0.23630000000000001</v>
      </c>
      <c r="I2644" s="1">
        <v>2.1100000000000001E-2</v>
      </c>
      <c r="J2644" s="1">
        <v>0.31490000000000001</v>
      </c>
      <c r="K2644" s="1">
        <v>5.5500000000000001E-2</v>
      </c>
      <c r="L2644" s="1">
        <v>1.0500000000000001E-2</v>
      </c>
      <c r="M2644" s="1">
        <v>3.9800000000000002E-2</v>
      </c>
      <c r="N2644" s="1">
        <v>1.6400000000000001E-2</v>
      </c>
      <c r="O2644">
        <v>282</v>
      </c>
      <c r="P2644">
        <v>242</v>
      </c>
      <c r="Q2644">
        <v>2633</v>
      </c>
    </row>
    <row r="2645" spans="1:17" x14ac:dyDescent="0.25">
      <c r="A2645" t="s">
        <v>200</v>
      </c>
      <c r="B2645" t="s">
        <v>198</v>
      </c>
      <c r="C2645" t="s">
        <v>349</v>
      </c>
      <c r="D2645" t="s">
        <v>767</v>
      </c>
      <c r="E2645" s="1">
        <v>0.87990000000000002</v>
      </c>
      <c r="F2645" s="1">
        <v>0.29570000000000002</v>
      </c>
      <c r="G2645" s="1">
        <v>0.86980000000000002</v>
      </c>
      <c r="H2645" s="1">
        <v>0.79139999999999999</v>
      </c>
      <c r="I2645" s="1">
        <v>0.94279999999999997</v>
      </c>
      <c r="J2645" s="1">
        <v>0.74860000000000004</v>
      </c>
      <c r="K2645" s="1">
        <v>0.83079999999999998</v>
      </c>
      <c r="L2645" s="1">
        <v>0.88360000000000005</v>
      </c>
      <c r="M2645" s="1">
        <v>0.90859999999999996</v>
      </c>
      <c r="N2645" s="1">
        <v>0.99829999999999997</v>
      </c>
      <c r="O2645">
        <v>19</v>
      </c>
      <c r="P2645">
        <v>62</v>
      </c>
      <c r="Q2645">
        <v>2633</v>
      </c>
    </row>
    <row r="2646" spans="1:17" x14ac:dyDescent="0.25">
      <c r="A2646" t="s">
        <v>200</v>
      </c>
      <c r="B2646" t="s">
        <v>198</v>
      </c>
      <c r="C2646" t="s">
        <v>349</v>
      </c>
      <c r="D2646" t="s">
        <v>768</v>
      </c>
      <c r="E2646" s="1">
        <v>7.7600000000000002E-2</v>
      </c>
      <c r="F2646" s="1">
        <v>5.2900000000000003E-2</v>
      </c>
      <c r="H2646" s="1">
        <v>6.2300000000000001E-2</v>
      </c>
      <c r="I2646" s="1">
        <v>4.6399999999999997E-2</v>
      </c>
      <c r="K2646" s="1">
        <v>0.14349999999999999</v>
      </c>
      <c r="L2646" s="1">
        <v>0.1164</v>
      </c>
      <c r="M2646" s="1">
        <v>1.55E-2</v>
      </c>
      <c r="N2646" s="1">
        <v>1.6999999999999999E-3</v>
      </c>
      <c r="O2646">
        <v>19</v>
      </c>
      <c r="P2646">
        <v>62</v>
      </c>
      <c r="Q2646">
        <v>2633</v>
      </c>
    </row>
    <row r="2647" spans="1:17" x14ac:dyDescent="0.25">
      <c r="A2647" t="s">
        <v>200</v>
      </c>
      <c r="B2647" t="s">
        <v>198</v>
      </c>
      <c r="C2647" t="s">
        <v>349</v>
      </c>
      <c r="D2647" t="s">
        <v>208</v>
      </c>
      <c r="E2647" s="1">
        <v>4.2500000000000003E-2</v>
      </c>
      <c r="F2647" s="1">
        <v>0.48259999999999997</v>
      </c>
      <c r="G2647" s="1">
        <v>0.13020000000000001</v>
      </c>
      <c r="H2647" s="1">
        <v>0.14630000000000001</v>
      </c>
      <c r="I2647" s="1">
        <v>1.0800000000000001E-2</v>
      </c>
      <c r="J2647" s="1">
        <v>0.25140000000000001</v>
      </c>
      <c r="K2647" s="1">
        <v>2.5700000000000001E-2</v>
      </c>
      <c r="M2647" s="1">
        <v>7.5899999999999995E-2</v>
      </c>
      <c r="O2647">
        <v>19</v>
      </c>
      <c r="P2647">
        <v>62</v>
      </c>
      <c r="Q2647">
        <v>2633</v>
      </c>
    </row>
    <row r="2648" spans="1:17" x14ac:dyDescent="0.25">
      <c r="A2648" t="s">
        <v>200</v>
      </c>
      <c r="B2648" t="s">
        <v>198</v>
      </c>
      <c r="C2648" t="s">
        <v>350</v>
      </c>
      <c r="D2648" t="s">
        <v>766</v>
      </c>
      <c r="E2648" s="1">
        <v>4.1999999999999997E-3</v>
      </c>
      <c r="F2648" s="1">
        <v>5.6399999999999999E-2</v>
      </c>
      <c r="H2648" s="1">
        <v>4.4600000000000001E-2</v>
      </c>
      <c r="I2648" s="1">
        <v>3.2099999999999997E-2</v>
      </c>
      <c r="J2648" s="1">
        <v>3.2099999999999997E-2</v>
      </c>
      <c r="L2648" s="1">
        <v>1.4E-3</v>
      </c>
      <c r="O2648">
        <v>23</v>
      </c>
      <c r="P2648">
        <v>78</v>
      </c>
      <c r="Q2648">
        <v>2633</v>
      </c>
    </row>
    <row r="2649" spans="1:17" x14ac:dyDescent="0.25">
      <c r="A2649" t="s">
        <v>200</v>
      </c>
      <c r="B2649" t="s">
        <v>198</v>
      </c>
      <c r="C2649" t="s">
        <v>350</v>
      </c>
      <c r="D2649" t="s">
        <v>767</v>
      </c>
      <c r="E2649" s="1">
        <v>0.82150000000000001</v>
      </c>
      <c r="F2649" s="1">
        <v>0.26919999999999999</v>
      </c>
      <c r="G2649" s="1">
        <v>0.71930000000000005</v>
      </c>
      <c r="H2649" s="1">
        <v>0.63770000000000004</v>
      </c>
      <c r="I2649" s="1">
        <v>0.71289999999999998</v>
      </c>
      <c r="J2649" s="1">
        <v>0.58850000000000002</v>
      </c>
      <c r="K2649" s="1">
        <v>0.71679999999999999</v>
      </c>
      <c r="L2649" s="1">
        <v>0.88449999999999995</v>
      </c>
      <c r="M2649" s="1">
        <v>0.85429999999999995</v>
      </c>
      <c r="N2649" s="1">
        <v>0.94379999999999997</v>
      </c>
      <c r="O2649">
        <v>23</v>
      </c>
      <c r="P2649">
        <v>78</v>
      </c>
      <c r="Q2649">
        <v>2633</v>
      </c>
    </row>
    <row r="2650" spans="1:17" x14ac:dyDescent="0.25">
      <c r="A2650" t="s">
        <v>200</v>
      </c>
      <c r="B2650" t="s">
        <v>198</v>
      </c>
      <c r="C2650" t="s">
        <v>350</v>
      </c>
      <c r="D2650" t="s">
        <v>768</v>
      </c>
      <c r="E2650" s="1">
        <v>8.4199999999999997E-2</v>
      </c>
      <c r="F2650" s="1">
        <v>0.1333</v>
      </c>
      <c r="G2650" s="1">
        <v>8.8999999999999999E-3</v>
      </c>
      <c r="H2650" s="1">
        <v>0.1278</v>
      </c>
      <c r="I2650" s="1">
        <v>0.1158</v>
      </c>
      <c r="J2650" s="1">
        <v>8.8999999999999999E-3</v>
      </c>
      <c r="K2650" s="1">
        <v>0.1928</v>
      </c>
      <c r="L2650" s="1">
        <v>0.1027</v>
      </c>
      <c r="M2650" s="1">
        <v>5.7599999999999998E-2</v>
      </c>
      <c r="N2650" s="1">
        <v>5.4800000000000001E-2</v>
      </c>
      <c r="O2650">
        <v>23</v>
      </c>
      <c r="P2650">
        <v>78</v>
      </c>
      <c r="Q2650">
        <v>2633</v>
      </c>
    </row>
    <row r="2651" spans="1:17" x14ac:dyDescent="0.25">
      <c r="A2651" t="s">
        <v>200</v>
      </c>
      <c r="B2651" t="s">
        <v>198</v>
      </c>
      <c r="C2651" t="s">
        <v>350</v>
      </c>
      <c r="D2651" t="s">
        <v>208</v>
      </c>
      <c r="E2651" s="1">
        <v>9.01E-2</v>
      </c>
      <c r="F2651" s="1">
        <v>0.54110000000000003</v>
      </c>
      <c r="G2651" s="1">
        <v>0.27179999999999999</v>
      </c>
      <c r="H2651" s="1">
        <v>0.18990000000000001</v>
      </c>
      <c r="I2651" s="1">
        <v>0.13930000000000001</v>
      </c>
      <c r="J2651" s="1">
        <v>0.37059999999999998</v>
      </c>
      <c r="K2651" s="1">
        <v>9.0499999999999997E-2</v>
      </c>
      <c r="L2651" s="1">
        <v>1.1299999999999999E-2</v>
      </c>
      <c r="M2651" s="1">
        <v>8.8200000000000001E-2</v>
      </c>
      <c r="N2651" s="1">
        <v>1.4E-3</v>
      </c>
      <c r="O2651">
        <v>23</v>
      </c>
      <c r="P2651">
        <v>78</v>
      </c>
      <c r="Q2651">
        <v>2633</v>
      </c>
    </row>
    <row r="2652" spans="1:17" x14ac:dyDescent="0.25">
      <c r="A2652" t="s">
        <v>201</v>
      </c>
      <c r="B2652" t="s">
        <v>198</v>
      </c>
      <c r="C2652" t="s">
        <v>348</v>
      </c>
      <c r="D2652" t="s">
        <v>767</v>
      </c>
      <c r="E2652" s="1">
        <v>0.77259999999999995</v>
      </c>
      <c r="F2652" s="1">
        <v>0.33200000000000002</v>
      </c>
      <c r="G2652" s="1">
        <v>0.81210000000000004</v>
      </c>
      <c r="H2652" s="1">
        <v>0.64839999999999998</v>
      </c>
      <c r="I2652" s="1">
        <v>0.78720000000000001</v>
      </c>
      <c r="J2652" s="1">
        <v>0.64549999999999996</v>
      </c>
      <c r="K2652" s="1">
        <v>0.78520000000000001</v>
      </c>
      <c r="L2652" s="1">
        <v>0.68769999999999998</v>
      </c>
      <c r="M2652" s="1">
        <v>0.90810000000000002</v>
      </c>
      <c r="N2652" s="1">
        <v>0.92930000000000001</v>
      </c>
      <c r="O2652">
        <v>31</v>
      </c>
      <c r="P2652">
        <v>62</v>
      </c>
      <c r="Q2652">
        <v>2633</v>
      </c>
    </row>
    <row r="2653" spans="1:17" x14ac:dyDescent="0.25">
      <c r="A2653" t="s">
        <v>201</v>
      </c>
      <c r="B2653" t="s">
        <v>198</v>
      </c>
      <c r="C2653" t="s">
        <v>348</v>
      </c>
      <c r="D2653" t="s">
        <v>768</v>
      </c>
      <c r="E2653" s="1">
        <v>0.22739999999999999</v>
      </c>
      <c r="F2653" s="1">
        <v>0.19139999999999999</v>
      </c>
      <c r="G2653" s="1">
        <v>9.5999999999999992E-3</v>
      </c>
      <c r="H2653" s="1">
        <v>0.11269999999999999</v>
      </c>
      <c r="I2653" s="1">
        <v>0.21279999999999999</v>
      </c>
      <c r="J2653" s="1">
        <v>4.7999999999999996E-3</v>
      </c>
      <c r="K2653" s="1">
        <v>0.1421</v>
      </c>
      <c r="L2653" s="1">
        <v>0.28220000000000001</v>
      </c>
      <c r="M2653" s="1">
        <v>7.7200000000000005E-2</v>
      </c>
      <c r="N2653" s="1">
        <v>4.8599999999999997E-2</v>
      </c>
      <c r="O2653">
        <v>31</v>
      </c>
      <c r="P2653">
        <v>62</v>
      </c>
      <c r="Q2653">
        <v>2633</v>
      </c>
    </row>
    <row r="2654" spans="1:17" x14ac:dyDescent="0.25">
      <c r="A2654" t="s">
        <v>201</v>
      </c>
      <c r="B2654" t="s">
        <v>198</v>
      </c>
      <c r="C2654" t="s">
        <v>349</v>
      </c>
      <c r="D2654" t="s">
        <v>766</v>
      </c>
      <c r="E2654" s="1">
        <v>5.4399999999999997E-2</v>
      </c>
      <c r="F2654" s="1">
        <v>0.13550000000000001</v>
      </c>
      <c r="G2654" s="1">
        <v>5.1999999999999998E-3</v>
      </c>
      <c r="I2654" s="1">
        <v>3.9E-2</v>
      </c>
      <c r="J2654" s="1">
        <v>7.0000000000000001E-3</v>
      </c>
      <c r="L2654" s="1">
        <v>1.3599999999999999E-2</v>
      </c>
      <c r="O2654">
        <v>83</v>
      </c>
      <c r="P2654">
        <v>125</v>
      </c>
      <c r="Q2654">
        <v>2633</v>
      </c>
    </row>
    <row r="2655" spans="1:17" x14ac:dyDescent="0.25">
      <c r="A2655" t="s">
        <v>201</v>
      </c>
      <c r="B2655" t="s">
        <v>198</v>
      </c>
      <c r="C2655" t="s">
        <v>349</v>
      </c>
      <c r="D2655" t="s">
        <v>767</v>
      </c>
      <c r="E2655" s="1">
        <v>0.78249999999999997</v>
      </c>
      <c r="F2655" s="1">
        <v>0.1832</v>
      </c>
      <c r="G2655" s="1">
        <v>0.84389999999999998</v>
      </c>
      <c r="H2655" s="1">
        <v>0.55100000000000005</v>
      </c>
      <c r="I2655" s="1">
        <v>0.69299999999999995</v>
      </c>
      <c r="J2655" s="1">
        <v>0.53159999999999996</v>
      </c>
      <c r="K2655" s="1">
        <v>0.71499999999999997</v>
      </c>
      <c r="L2655" s="1">
        <v>0.71079999999999999</v>
      </c>
      <c r="M2655" s="1">
        <v>0.8861</v>
      </c>
      <c r="N2655" s="1">
        <v>0.94840000000000002</v>
      </c>
      <c r="O2655">
        <v>83</v>
      </c>
      <c r="P2655">
        <v>125</v>
      </c>
      <c r="Q2655">
        <v>2633</v>
      </c>
    </row>
    <row r="2656" spans="1:17" x14ac:dyDescent="0.25">
      <c r="A2656" t="s">
        <v>201</v>
      </c>
      <c r="B2656" t="s">
        <v>198</v>
      </c>
      <c r="C2656" t="s">
        <v>349</v>
      </c>
      <c r="D2656" t="s">
        <v>768</v>
      </c>
      <c r="E2656" s="1">
        <v>7.5300000000000006E-2</v>
      </c>
      <c r="F2656" s="1">
        <v>0.15970000000000001</v>
      </c>
      <c r="G2656" s="1">
        <v>1.3599999999999999E-2</v>
      </c>
      <c r="H2656" s="1">
        <v>8.3599999999999994E-2</v>
      </c>
      <c r="I2656" s="1">
        <v>0.23050000000000001</v>
      </c>
      <c r="J2656" s="1">
        <v>1.8E-3</v>
      </c>
      <c r="K2656" s="1">
        <v>0.1668</v>
      </c>
      <c r="L2656" s="1">
        <v>0.27560000000000001</v>
      </c>
      <c r="M2656" s="1">
        <v>3.9800000000000002E-2</v>
      </c>
      <c r="N2656" s="1">
        <v>2.4400000000000002E-2</v>
      </c>
      <c r="O2656">
        <v>83</v>
      </c>
      <c r="P2656">
        <v>125</v>
      </c>
      <c r="Q2656">
        <v>2633</v>
      </c>
    </row>
    <row r="2657" spans="1:17" x14ac:dyDescent="0.25">
      <c r="A2657" t="s">
        <v>201</v>
      </c>
      <c r="B2657" t="s">
        <v>198</v>
      </c>
      <c r="C2657" t="s">
        <v>349</v>
      </c>
      <c r="D2657" t="s">
        <v>208</v>
      </c>
      <c r="E2657" s="1">
        <v>8.77E-2</v>
      </c>
      <c r="F2657" s="1">
        <v>0.52159999999999995</v>
      </c>
      <c r="G2657" s="1">
        <v>0.13739999999999999</v>
      </c>
      <c r="H2657" s="1">
        <v>0.3654</v>
      </c>
      <c r="I2657" s="1">
        <v>3.7499999999999999E-2</v>
      </c>
      <c r="J2657" s="1">
        <v>0.45960000000000001</v>
      </c>
      <c r="K2657" s="1">
        <v>0.1182</v>
      </c>
      <c r="M2657" s="1">
        <v>7.4099999999999999E-2</v>
      </c>
      <c r="N2657" s="1">
        <v>2.7199999999999998E-2</v>
      </c>
      <c r="O2657">
        <v>83</v>
      </c>
      <c r="P2657">
        <v>125</v>
      </c>
      <c r="Q2657">
        <v>2633</v>
      </c>
    </row>
    <row r="2658" spans="1:17" x14ac:dyDescent="0.25">
      <c r="A2658" t="s">
        <v>201</v>
      </c>
      <c r="B2658" t="s">
        <v>198</v>
      </c>
      <c r="C2658" t="s">
        <v>350</v>
      </c>
      <c r="D2658" t="s">
        <v>766</v>
      </c>
      <c r="E2658" s="1">
        <v>2.86E-2</v>
      </c>
      <c r="F2658" s="1">
        <v>0.11509999999999999</v>
      </c>
      <c r="H2658" s="1">
        <v>5.1799999999999999E-2</v>
      </c>
      <c r="I2658" s="1">
        <v>2.1600000000000001E-2</v>
      </c>
      <c r="J2658" s="1">
        <v>6.8999999999999999E-3</v>
      </c>
      <c r="L2658" s="1">
        <v>1.3899999999999999E-2</v>
      </c>
      <c r="O2658">
        <v>6</v>
      </c>
      <c r="P2658">
        <v>63</v>
      </c>
      <c r="Q2658">
        <v>2633</v>
      </c>
    </row>
    <row r="2659" spans="1:17" x14ac:dyDescent="0.25">
      <c r="A2659" t="s">
        <v>201</v>
      </c>
      <c r="B2659" t="s">
        <v>198</v>
      </c>
      <c r="C2659" t="s">
        <v>350</v>
      </c>
      <c r="D2659" t="s">
        <v>767</v>
      </c>
      <c r="E2659" s="1">
        <v>0.70089999999999997</v>
      </c>
      <c r="F2659" s="1">
        <v>0.2384</v>
      </c>
      <c r="G2659" s="1">
        <v>0.8155</v>
      </c>
      <c r="H2659" s="1">
        <v>0.63549999999999995</v>
      </c>
      <c r="I2659" s="1">
        <v>0.7087</v>
      </c>
      <c r="J2659" s="1">
        <v>0.49059999999999998</v>
      </c>
      <c r="K2659" s="1">
        <v>0.79259999999999997</v>
      </c>
      <c r="L2659" s="1">
        <v>0.69269999999999998</v>
      </c>
      <c r="M2659" s="1">
        <v>0.76729999999999998</v>
      </c>
      <c r="N2659" s="1">
        <v>0.97060000000000002</v>
      </c>
      <c r="O2659">
        <v>6</v>
      </c>
      <c r="P2659">
        <v>63</v>
      </c>
      <c r="Q2659">
        <v>2633</v>
      </c>
    </row>
    <row r="2660" spans="1:17" x14ac:dyDescent="0.25">
      <c r="A2660" t="s">
        <v>201</v>
      </c>
      <c r="B2660" t="s">
        <v>198</v>
      </c>
      <c r="C2660" t="s">
        <v>350</v>
      </c>
      <c r="D2660" t="s">
        <v>768</v>
      </c>
      <c r="E2660" s="1">
        <v>0.24110000000000001</v>
      </c>
      <c r="F2660" s="1">
        <v>0.1371</v>
      </c>
      <c r="G2660" s="1">
        <v>4.2000000000000003E-2</v>
      </c>
      <c r="H2660" s="1">
        <v>6.6199999999999995E-2</v>
      </c>
      <c r="I2660" s="1">
        <v>0.25580000000000003</v>
      </c>
      <c r="K2660" s="1">
        <v>0.18659999999999999</v>
      </c>
      <c r="L2660" s="1">
        <v>0.29339999999999999</v>
      </c>
      <c r="M2660" s="1">
        <v>5.0200000000000002E-2</v>
      </c>
      <c r="N2660" s="1">
        <v>1.47E-2</v>
      </c>
      <c r="O2660">
        <v>6</v>
      </c>
      <c r="P2660">
        <v>63</v>
      </c>
      <c r="Q2660">
        <v>2633</v>
      </c>
    </row>
    <row r="2661" spans="1:17" x14ac:dyDescent="0.25">
      <c r="A2661" t="s">
        <v>201</v>
      </c>
      <c r="B2661" t="s">
        <v>198</v>
      </c>
      <c r="C2661" t="s">
        <v>350</v>
      </c>
      <c r="D2661" t="s">
        <v>208</v>
      </c>
      <c r="E2661" s="1">
        <v>2.9399999999999999E-2</v>
      </c>
      <c r="F2661" s="1">
        <v>0.50939999999999996</v>
      </c>
      <c r="G2661" s="1">
        <v>0.14249999999999999</v>
      </c>
      <c r="H2661" s="1">
        <v>0.2465</v>
      </c>
      <c r="I2661" s="1">
        <v>1.3899999999999999E-2</v>
      </c>
      <c r="J2661" s="1">
        <v>0.50249999999999995</v>
      </c>
      <c r="K2661" s="1">
        <v>2.0799999999999999E-2</v>
      </c>
      <c r="M2661" s="1">
        <v>0.1825</v>
      </c>
      <c r="N2661" s="1">
        <v>1.47E-2</v>
      </c>
      <c r="O2661">
        <v>6</v>
      </c>
      <c r="P2661">
        <v>63</v>
      </c>
      <c r="Q2661">
        <v>2633</v>
      </c>
    </row>
    <row r="2662" spans="1:17" x14ac:dyDescent="0.25">
      <c r="A2662" t="s">
        <v>202</v>
      </c>
      <c r="B2662" t="s">
        <v>198</v>
      </c>
      <c r="C2662" t="s">
        <v>348</v>
      </c>
      <c r="D2662" t="s">
        <v>766</v>
      </c>
      <c r="E2662" s="1">
        <v>1.5299999999999999E-2</v>
      </c>
      <c r="F2662" s="1">
        <v>0.1875</v>
      </c>
      <c r="G2662" s="1">
        <v>1.8599999999999998E-2</v>
      </c>
      <c r="I2662" s="1">
        <v>8.0000000000000002E-3</v>
      </c>
      <c r="L2662" s="1">
        <v>8.0000000000000002E-3</v>
      </c>
      <c r="O2662">
        <v>247</v>
      </c>
      <c r="P2662">
        <v>96</v>
      </c>
      <c r="Q2662">
        <v>2633</v>
      </c>
    </row>
    <row r="2663" spans="1:17" x14ac:dyDescent="0.25">
      <c r="A2663" t="s">
        <v>202</v>
      </c>
      <c r="B2663" t="s">
        <v>198</v>
      </c>
      <c r="C2663" t="s">
        <v>348</v>
      </c>
      <c r="D2663" t="s">
        <v>767</v>
      </c>
      <c r="E2663" s="1">
        <v>0.70069999999999999</v>
      </c>
      <c r="F2663" s="1">
        <v>0.34260000000000002</v>
      </c>
      <c r="G2663" s="1">
        <v>0.85419999999999996</v>
      </c>
      <c r="H2663" s="1">
        <v>0.59360000000000002</v>
      </c>
      <c r="I2663" s="1">
        <v>0.70809999999999995</v>
      </c>
      <c r="J2663" s="1">
        <v>0.628</v>
      </c>
      <c r="K2663" s="1">
        <v>0.86650000000000005</v>
      </c>
      <c r="L2663" s="1">
        <v>0.67989999999999995</v>
      </c>
      <c r="M2663" s="1">
        <v>0.88029999999999997</v>
      </c>
      <c r="N2663" s="1">
        <v>0.98540000000000005</v>
      </c>
      <c r="O2663">
        <v>247</v>
      </c>
      <c r="P2663">
        <v>96</v>
      </c>
      <c r="Q2663">
        <v>2633</v>
      </c>
    </row>
    <row r="2664" spans="1:17" x14ac:dyDescent="0.25">
      <c r="A2664" t="s">
        <v>202</v>
      </c>
      <c r="B2664" t="s">
        <v>198</v>
      </c>
      <c r="C2664" t="s">
        <v>348</v>
      </c>
      <c r="D2664" t="s">
        <v>768</v>
      </c>
      <c r="E2664" s="1">
        <v>0.24149999999999999</v>
      </c>
      <c r="F2664" s="1">
        <v>8.0799999999999997E-2</v>
      </c>
      <c r="G2664" s="1">
        <v>8.0000000000000002E-3</v>
      </c>
      <c r="H2664" s="1">
        <v>0.1071</v>
      </c>
      <c r="I2664" s="1">
        <v>0.25609999999999999</v>
      </c>
      <c r="K2664" s="1">
        <v>4.7199999999999999E-2</v>
      </c>
      <c r="L2664" s="1">
        <v>0.31209999999999999</v>
      </c>
      <c r="M2664" s="1">
        <v>5.6899999999999999E-2</v>
      </c>
      <c r="N2664" s="1">
        <v>2.5000000000000001E-3</v>
      </c>
      <c r="O2664">
        <v>247</v>
      </c>
      <c r="P2664">
        <v>96</v>
      </c>
      <c r="Q2664">
        <v>2633</v>
      </c>
    </row>
    <row r="2665" spans="1:17" x14ac:dyDescent="0.25">
      <c r="A2665" t="s">
        <v>202</v>
      </c>
      <c r="B2665" t="s">
        <v>198</v>
      </c>
      <c r="C2665" t="s">
        <v>348</v>
      </c>
      <c r="D2665" t="s">
        <v>208</v>
      </c>
      <c r="E2665" s="1">
        <v>4.2599999999999999E-2</v>
      </c>
      <c r="F2665" s="1">
        <v>0.38900000000000001</v>
      </c>
      <c r="G2665" s="1">
        <v>0.1193</v>
      </c>
      <c r="H2665" s="1">
        <v>0.2994</v>
      </c>
      <c r="I2665" s="1">
        <v>2.7799999999999998E-2</v>
      </c>
      <c r="J2665" s="1">
        <v>0.372</v>
      </c>
      <c r="K2665" s="1">
        <v>8.6400000000000005E-2</v>
      </c>
      <c r="M2665" s="1">
        <v>6.2799999999999995E-2</v>
      </c>
      <c r="N2665" s="1">
        <v>1.2E-2</v>
      </c>
      <c r="O2665">
        <v>247</v>
      </c>
      <c r="P2665">
        <v>96</v>
      </c>
      <c r="Q2665">
        <v>2633</v>
      </c>
    </row>
    <row r="2666" spans="1:17" x14ac:dyDescent="0.25">
      <c r="A2666" t="s">
        <v>199</v>
      </c>
      <c r="B2666" t="s">
        <v>203</v>
      </c>
      <c r="C2666" t="s">
        <v>348</v>
      </c>
      <c r="D2666" t="s">
        <v>767</v>
      </c>
      <c r="E2666" s="1">
        <v>0.92649999999999999</v>
      </c>
      <c r="F2666" s="1">
        <v>0.43840000000000001</v>
      </c>
      <c r="G2666" s="1">
        <v>0.8609</v>
      </c>
      <c r="H2666" s="1">
        <v>0.78920000000000001</v>
      </c>
      <c r="I2666" s="1">
        <v>0.87090000000000001</v>
      </c>
      <c r="J2666" s="1">
        <v>0.69599999999999995</v>
      </c>
      <c r="K2666" s="1">
        <v>0.54300000000000004</v>
      </c>
      <c r="L2666" s="1">
        <v>0.75360000000000005</v>
      </c>
      <c r="M2666" s="1">
        <v>0.96319999999999995</v>
      </c>
      <c r="N2666" s="1">
        <v>0.96819999999999995</v>
      </c>
      <c r="O2666">
        <v>14</v>
      </c>
      <c r="P2666">
        <v>42</v>
      </c>
      <c r="Q2666">
        <v>2633</v>
      </c>
    </row>
    <row r="2667" spans="1:17" x14ac:dyDescent="0.25">
      <c r="A2667" t="s">
        <v>199</v>
      </c>
      <c r="B2667" t="s">
        <v>203</v>
      </c>
      <c r="C2667" t="s">
        <v>348</v>
      </c>
      <c r="D2667" t="s">
        <v>208</v>
      </c>
      <c r="E2667" s="1">
        <v>7.3499999999999996E-2</v>
      </c>
      <c r="F2667" s="1">
        <v>0.35589999999999999</v>
      </c>
      <c r="G2667" s="1">
        <v>0.1391</v>
      </c>
      <c r="H2667" s="1">
        <v>0.1492</v>
      </c>
      <c r="I2667" s="1">
        <v>3.1800000000000002E-2</v>
      </c>
      <c r="J2667" s="1">
        <v>0.26229999999999998</v>
      </c>
      <c r="K2667" s="1">
        <v>3.1800000000000002E-2</v>
      </c>
      <c r="M2667" s="1">
        <v>5.1000000000000004E-3</v>
      </c>
      <c r="O2667">
        <v>14</v>
      </c>
      <c r="P2667">
        <v>42</v>
      </c>
      <c r="Q2667">
        <v>2633</v>
      </c>
    </row>
    <row r="2668" spans="1:17" x14ac:dyDescent="0.25">
      <c r="A2668" t="s">
        <v>199</v>
      </c>
      <c r="B2668" t="s">
        <v>203</v>
      </c>
      <c r="C2668" t="s">
        <v>349</v>
      </c>
      <c r="D2668" t="s">
        <v>766</v>
      </c>
      <c r="E2668" s="1">
        <v>3.3E-3</v>
      </c>
      <c r="F2668" s="1">
        <v>6.1400000000000003E-2</v>
      </c>
      <c r="H2668" s="1">
        <v>1.6999999999999999E-3</v>
      </c>
      <c r="I2668" s="1">
        <v>1.49E-2</v>
      </c>
      <c r="J2668" s="1">
        <v>2.8E-3</v>
      </c>
      <c r="L2668" s="1">
        <v>1.3100000000000001E-2</v>
      </c>
      <c r="O2668">
        <v>110</v>
      </c>
      <c r="P2668">
        <v>171</v>
      </c>
      <c r="Q2668">
        <v>2633</v>
      </c>
    </row>
    <row r="2669" spans="1:17" x14ac:dyDescent="0.25">
      <c r="A2669" t="s">
        <v>199</v>
      </c>
      <c r="B2669" t="s">
        <v>203</v>
      </c>
      <c r="C2669" t="s">
        <v>349</v>
      </c>
      <c r="D2669" t="s">
        <v>767</v>
      </c>
      <c r="E2669" s="1">
        <v>0.9738</v>
      </c>
      <c r="F2669" s="1">
        <v>0.56279999999999997</v>
      </c>
      <c r="G2669" s="1">
        <v>0.93669999999999998</v>
      </c>
      <c r="H2669" s="1">
        <v>0.81930000000000003</v>
      </c>
      <c r="I2669" s="1">
        <v>0.81469999999999998</v>
      </c>
      <c r="J2669" s="1">
        <v>0.83360000000000001</v>
      </c>
      <c r="K2669" s="1">
        <v>0.61639999999999995</v>
      </c>
      <c r="L2669" s="1">
        <v>0.96830000000000005</v>
      </c>
      <c r="M2669" s="1">
        <v>0.96360000000000001</v>
      </c>
      <c r="N2669" s="1">
        <v>0.98970000000000002</v>
      </c>
      <c r="O2669">
        <v>110</v>
      </c>
      <c r="P2669">
        <v>171</v>
      </c>
      <c r="Q2669">
        <v>2633</v>
      </c>
    </row>
    <row r="2670" spans="1:17" x14ac:dyDescent="0.25">
      <c r="A2670" t="s">
        <v>199</v>
      </c>
      <c r="B2670" t="s">
        <v>203</v>
      </c>
      <c r="C2670" t="s">
        <v>349</v>
      </c>
      <c r="D2670" t="s">
        <v>768</v>
      </c>
      <c r="E2670" s="1">
        <v>1.32E-2</v>
      </c>
      <c r="F2670" s="1">
        <v>6.0499999999999998E-2</v>
      </c>
      <c r="G2670" s="1">
        <v>2.8E-3</v>
      </c>
      <c r="H2670" s="1">
        <v>5.2699999999999997E-2</v>
      </c>
      <c r="I2670" s="1">
        <v>0.1641</v>
      </c>
      <c r="J2670" s="1">
        <v>1.6000000000000001E-3</v>
      </c>
      <c r="K2670" s="1">
        <v>0.35949999999999999</v>
      </c>
      <c r="L2670" s="1">
        <v>1.7000000000000001E-2</v>
      </c>
      <c r="M2670" s="1">
        <v>1.8599999999999998E-2</v>
      </c>
      <c r="N2670" s="1">
        <v>7.1000000000000004E-3</v>
      </c>
      <c r="O2670">
        <v>110</v>
      </c>
      <c r="P2670">
        <v>171</v>
      </c>
      <c r="Q2670">
        <v>2633</v>
      </c>
    </row>
    <row r="2671" spans="1:17" x14ac:dyDescent="0.25">
      <c r="A2671" t="s">
        <v>199</v>
      </c>
      <c r="B2671" t="s">
        <v>203</v>
      </c>
      <c r="C2671" t="s">
        <v>349</v>
      </c>
      <c r="D2671" t="s">
        <v>208</v>
      </c>
      <c r="E2671" s="1">
        <v>9.7000000000000003E-3</v>
      </c>
      <c r="F2671" s="1">
        <v>0.31530000000000002</v>
      </c>
      <c r="G2671" s="1">
        <v>6.0600000000000001E-2</v>
      </c>
      <c r="H2671" s="1">
        <v>0.1263</v>
      </c>
      <c r="I2671" s="1">
        <v>6.3E-3</v>
      </c>
      <c r="J2671" s="1">
        <v>0.16200000000000001</v>
      </c>
      <c r="K2671" s="1">
        <v>2.4199999999999999E-2</v>
      </c>
      <c r="L2671" s="1">
        <v>1.6000000000000001E-3</v>
      </c>
      <c r="M2671" s="1">
        <v>1.78E-2</v>
      </c>
      <c r="N2671" s="1">
        <v>3.3E-3</v>
      </c>
      <c r="O2671">
        <v>110</v>
      </c>
      <c r="P2671">
        <v>171</v>
      </c>
      <c r="Q2671">
        <v>2633</v>
      </c>
    </row>
    <row r="2672" spans="1:17" x14ac:dyDescent="0.25">
      <c r="A2672" t="s">
        <v>199</v>
      </c>
      <c r="B2672" t="s">
        <v>203</v>
      </c>
      <c r="C2672" t="s">
        <v>350</v>
      </c>
      <c r="D2672" t="s">
        <v>766</v>
      </c>
      <c r="E2672" s="1">
        <v>5.0000000000000001E-3</v>
      </c>
      <c r="F2672" s="1">
        <v>1.37E-2</v>
      </c>
      <c r="I2672" s="1">
        <v>5.3E-3</v>
      </c>
      <c r="J2672" s="1">
        <v>6.7000000000000002E-3</v>
      </c>
      <c r="K2672" s="1">
        <v>2.5999999999999999E-3</v>
      </c>
      <c r="L2672" s="1">
        <v>1.6000000000000001E-3</v>
      </c>
      <c r="M2672" s="1">
        <v>8.9999999999999998E-4</v>
      </c>
      <c r="O2672">
        <v>215</v>
      </c>
      <c r="P2672">
        <v>307</v>
      </c>
      <c r="Q2672">
        <v>2633</v>
      </c>
    </row>
    <row r="2673" spans="1:17" x14ac:dyDescent="0.25">
      <c r="A2673" t="s">
        <v>199</v>
      </c>
      <c r="B2673" t="s">
        <v>203</v>
      </c>
      <c r="C2673" t="s">
        <v>350</v>
      </c>
      <c r="D2673" t="s">
        <v>767</v>
      </c>
      <c r="E2673" s="1">
        <v>0.90890000000000004</v>
      </c>
      <c r="F2673" s="1">
        <v>0.43940000000000001</v>
      </c>
      <c r="G2673" s="1">
        <v>0.9123</v>
      </c>
      <c r="H2673" s="1">
        <v>0.61699999999999999</v>
      </c>
      <c r="I2673" s="1">
        <v>0.87570000000000003</v>
      </c>
      <c r="J2673" s="1">
        <v>0.74060000000000004</v>
      </c>
      <c r="K2673" s="1">
        <v>0.82779999999999998</v>
      </c>
      <c r="L2673" s="1">
        <v>0.95089999999999997</v>
      </c>
      <c r="M2673" s="1">
        <v>0.9415</v>
      </c>
      <c r="N2673" s="1">
        <v>0.99570000000000003</v>
      </c>
      <c r="O2673">
        <v>215</v>
      </c>
      <c r="P2673">
        <v>307</v>
      </c>
      <c r="Q2673">
        <v>2633</v>
      </c>
    </row>
    <row r="2674" spans="1:17" x14ac:dyDescent="0.25">
      <c r="A2674" t="s">
        <v>199</v>
      </c>
      <c r="B2674" t="s">
        <v>203</v>
      </c>
      <c r="C2674" t="s">
        <v>350</v>
      </c>
      <c r="D2674" t="s">
        <v>768</v>
      </c>
      <c r="E2674" s="1">
        <v>0.04</v>
      </c>
      <c r="F2674" s="1">
        <v>6.8699999999999997E-2</v>
      </c>
      <c r="G2674" s="1">
        <v>3.7000000000000002E-3</v>
      </c>
      <c r="H2674" s="1">
        <v>8.48E-2</v>
      </c>
      <c r="I2674" s="1">
        <v>6.9900000000000004E-2</v>
      </c>
      <c r="J2674" s="1">
        <v>8.6E-3</v>
      </c>
      <c r="K2674" s="1">
        <v>0.13</v>
      </c>
      <c r="L2674" s="1">
        <v>4.65E-2</v>
      </c>
      <c r="M2674" s="1">
        <v>3.1199999999999999E-2</v>
      </c>
      <c r="N2674" s="1">
        <v>2.5999999999999999E-3</v>
      </c>
      <c r="O2674">
        <v>215</v>
      </c>
      <c r="P2674">
        <v>307</v>
      </c>
      <c r="Q2674">
        <v>2633</v>
      </c>
    </row>
    <row r="2675" spans="1:17" x14ac:dyDescent="0.25">
      <c r="A2675" t="s">
        <v>199</v>
      </c>
      <c r="B2675" t="s">
        <v>203</v>
      </c>
      <c r="C2675" t="s">
        <v>350</v>
      </c>
      <c r="D2675" t="s">
        <v>208</v>
      </c>
      <c r="E2675" s="1">
        <v>4.5999999999999999E-2</v>
      </c>
      <c r="F2675" s="1">
        <v>0.47820000000000001</v>
      </c>
      <c r="G2675" s="1">
        <v>8.4000000000000005E-2</v>
      </c>
      <c r="H2675" s="1">
        <v>0.29820000000000002</v>
      </c>
      <c r="I2675" s="1">
        <v>4.9200000000000001E-2</v>
      </c>
      <c r="J2675" s="1">
        <v>0.24410000000000001</v>
      </c>
      <c r="K2675" s="1">
        <v>3.9600000000000003E-2</v>
      </c>
      <c r="L2675" s="1">
        <v>1E-3</v>
      </c>
      <c r="M2675" s="1">
        <v>2.64E-2</v>
      </c>
      <c r="N2675" s="1">
        <v>1.6999999999999999E-3</v>
      </c>
      <c r="O2675">
        <v>215</v>
      </c>
      <c r="P2675">
        <v>307</v>
      </c>
      <c r="Q2675">
        <v>2633</v>
      </c>
    </row>
    <row r="2676" spans="1:17" x14ac:dyDescent="0.25">
      <c r="A2676" t="s">
        <v>200</v>
      </c>
      <c r="B2676" t="s">
        <v>203</v>
      </c>
      <c r="C2676" t="s">
        <v>348</v>
      </c>
      <c r="D2676" t="s">
        <v>766</v>
      </c>
      <c r="E2676" s="1">
        <v>8.6E-3</v>
      </c>
      <c r="F2676" s="1">
        <v>3.6299999999999999E-2</v>
      </c>
      <c r="H2676" s="1">
        <v>4.1999999999999997E-3</v>
      </c>
      <c r="I2676" s="1">
        <v>4.4999999999999997E-3</v>
      </c>
      <c r="J2676" s="1">
        <v>1.0800000000000001E-2</v>
      </c>
      <c r="N2676" s="1">
        <v>5.0000000000000001E-4</v>
      </c>
      <c r="O2676">
        <v>707</v>
      </c>
      <c r="P2676">
        <v>300</v>
      </c>
      <c r="Q2676">
        <v>2633</v>
      </c>
    </row>
    <row r="2677" spans="1:17" x14ac:dyDescent="0.25">
      <c r="A2677" t="s">
        <v>200</v>
      </c>
      <c r="B2677" t="s">
        <v>203</v>
      </c>
      <c r="C2677" t="s">
        <v>348</v>
      </c>
      <c r="D2677" t="s">
        <v>767</v>
      </c>
      <c r="E2677" s="1">
        <v>0.93459999999999999</v>
      </c>
      <c r="F2677" s="1">
        <v>0.71489999999999998</v>
      </c>
      <c r="G2677" s="1">
        <v>0.9516</v>
      </c>
      <c r="H2677" s="1">
        <v>0.77210000000000001</v>
      </c>
      <c r="I2677" s="1">
        <v>0.82010000000000005</v>
      </c>
      <c r="J2677" s="1">
        <v>0.86829999999999996</v>
      </c>
      <c r="K2677" s="1">
        <v>0.82</v>
      </c>
      <c r="L2677" s="1">
        <v>0.83009999999999995</v>
      </c>
      <c r="M2677" s="1">
        <v>0.94669999999999999</v>
      </c>
      <c r="N2677" s="1">
        <v>0.95250000000000001</v>
      </c>
      <c r="O2677">
        <v>707</v>
      </c>
      <c r="P2677">
        <v>300</v>
      </c>
      <c r="Q2677">
        <v>2633</v>
      </c>
    </row>
    <row r="2678" spans="1:17" x14ac:dyDescent="0.25">
      <c r="A2678" t="s">
        <v>200</v>
      </c>
      <c r="B2678" t="s">
        <v>203</v>
      </c>
      <c r="C2678" t="s">
        <v>348</v>
      </c>
      <c r="D2678" t="s">
        <v>768</v>
      </c>
      <c r="E2678" s="1">
        <v>4.3999999999999997E-2</v>
      </c>
      <c r="F2678" s="1">
        <v>9.8900000000000002E-2</v>
      </c>
      <c r="G2678" s="1">
        <v>2.2800000000000001E-2</v>
      </c>
      <c r="H2678" s="1">
        <v>8.8400000000000006E-2</v>
      </c>
      <c r="I2678" s="1">
        <v>0.16830000000000001</v>
      </c>
      <c r="J2678" s="1">
        <v>3.6200000000000003E-2</v>
      </c>
      <c r="K2678" s="1">
        <v>0.1681</v>
      </c>
      <c r="L2678" s="1">
        <v>0.15559999999999999</v>
      </c>
      <c r="M2678" s="1">
        <v>4.6199999999999998E-2</v>
      </c>
      <c r="N2678" s="1">
        <v>4.5199999999999997E-2</v>
      </c>
      <c r="O2678">
        <v>707</v>
      </c>
      <c r="P2678">
        <v>300</v>
      </c>
      <c r="Q2678">
        <v>2633</v>
      </c>
    </row>
    <row r="2679" spans="1:17" x14ac:dyDescent="0.25">
      <c r="A2679" t="s">
        <v>200</v>
      </c>
      <c r="B2679" t="s">
        <v>203</v>
      </c>
      <c r="C2679" t="s">
        <v>348</v>
      </c>
      <c r="D2679" t="s">
        <v>208</v>
      </c>
      <c r="E2679" s="1">
        <v>1.2800000000000001E-2</v>
      </c>
      <c r="F2679" s="1">
        <v>0.14990000000000001</v>
      </c>
      <c r="G2679" s="1">
        <v>2.5600000000000001E-2</v>
      </c>
      <c r="H2679" s="1">
        <v>0.13519999999999999</v>
      </c>
      <c r="I2679" s="1">
        <v>7.1000000000000004E-3</v>
      </c>
      <c r="J2679" s="1">
        <v>8.48E-2</v>
      </c>
      <c r="K2679" s="1">
        <v>1.1900000000000001E-2</v>
      </c>
      <c r="L2679" s="1">
        <v>1.43E-2</v>
      </c>
      <c r="M2679" s="1">
        <v>7.1000000000000004E-3</v>
      </c>
      <c r="N2679" s="1">
        <v>1.8E-3</v>
      </c>
      <c r="O2679">
        <v>707</v>
      </c>
      <c r="P2679">
        <v>300</v>
      </c>
      <c r="Q2679">
        <v>2633</v>
      </c>
    </row>
    <row r="2680" spans="1:17" x14ac:dyDescent="0.25">
      <c r="A2680" t="s">
        <v>200</v>
      </c>
      <c r="B2680" t="s">
        <v>203</v>
      </c>
      <c r="C2680" t="s">
        <v>349</v>
      </c>
      <c r="D2680" t="s">
        <v>767</v>
      </c>
      <c r="E2680" s="1">
        <v>0.93559999999999999</v>
      </c>
      <c r="F2680" s="1">
        <v>0.54600000000000004</v>
      </c>
      <c r="G2680" s="1">
        <v>0.94169999999999998</v>
      </c>
      <c r="H2680" s="1">
        <v>0.71350000000000002</v>
      </c>
      <c r="I2680" s="1">
        <v>0.94599999999999995</v>
      </c>
      <c r="J2680" s="1">
        <v>0.81210000000000004</v>
      </c>
      <c r="K2680" s="1">
        <v>0.67710000000000004</v>
      </c>
      <c r="L2680" s="1">
        <v>0.96230000000000004</v>
      </c>
      <c r="M2680" s="1">
        <v>0.96199999999999997</v>
      </c>
      <c r="N2680" s="1">
        <v>0.95320000000000005</v>
      </c>
      <c r="O2680">
        <v>64</v>
      </c>
      <c r="P2680">
        <v>108</v>
      </c>
      <c r="Q2680">
        <v>2633</v>
      </c>
    </row>
    <row r="2681" spans="1:17" x14ac:dyDescent="0.25">
      <c r="A2681" t="s">
        <v>200</v>
      </c>
      <c r="B2681" t="s">
        <v>203</v>
      </c>
      <c r="C2681" t="s">
        <v>349</v>
      </c>
      <c r="D2681" t="s">
        <v>208</v>
      </c>
      <c r="E2681" s="1">
        <v>6.4399999999999999E-2</v>
      </c>
      <c r="F2681" s="1">
        <v>0.35360000000000003</v>
      </c>
      <c r="G2681" s="1">
        <v>5.8299999999999998E-2</v>
      </c>
      <c r="H2681" s="1">
        <v>0.21060000000000001</v>
      </c>
      <c r="I2681" s="1">
        <v>1.7100000000000001E-2</v>
      </c>
      <c r="J2681" s="1">
        <v>0.17269999999999999</v>
      </c>
      <c r="K2681" s="1">
        <v>2.46E-2</v>
      </c>
      <c r="L2681" s="1">
        <v>1.6999999999999999E-3</v>
      </c>
      <c r="M2681" s="1">
        <v>7.4000000000000003E-3</v>
      </c>
      <c r="N2681" s="1">
        <v>8.9999999999999998E-4</v>
      </c>
      <c r="O2681">
        <v>64</v>
      </c>
      <c r="P2681">
        <v>108</v>
      </c>
      <c r="Q2681">
        <v>2633</v>
      </c>
    </row>
    <row r="2682" spans="1:17" x14ac:dyDescent="0.25">
      <c r="A2682" t="s">
        <v>200</v>
      </c>
      <c r="B2682" t="s">
        <v>203</v>
      </c>
      <c r="C2682" t="s">
        <v>350</v>
      </c>
      <c r="D2682" t="s">
        <v>766</v>
      </c>
      <c r="E2682" s="1">
        <v>5.5999999999999999E-3</v>
      </c>
      <c r="F2682" s="1">
        <v>5.7299999999999997E-2</v>
      </c>
      <c r="G2682" s="1">
        <v>1.55E-2</v>
      </c>
      <c r="H2682" s="1">
        <v>3.5000000000000003E-2</v>
      </c>
      <c r="I2682" s="1">
        <v>3.3999999999999998E-3</v>
      </c>
      <c r="J2682" s="1">
        <v>1.77E-2</v>
      </c>
      <c r="L2682" s="1">
        <v>3.3999999999999998E-3</v>
      </c>
      <c r="O2682">
        <v>27</v>
      </c>
      <c r="P2682">
        <v>94</v>
      </c>
      <c r="Q2682">
        <v>2633</v>
      </c>
    </row>
    <row r="2683" spans="1:17" x14ac:dyDescent="0.25">
      <c r="A2683" t="s">
        <v>200</v>
      </c>
      <c r="B2683" t="s">
        <v>203</v>
      </c>
      <c r="C2683" t="s">
        <v>350</v>
      </c>
      <c r="D2683" t="s">
        <v>767</v>
      </c>
      <c r="E2683" s="1">
        <v>0.95679999999999998</v>
      </c>
      <c r="F2683" s="1">
        <v>0.45950000000000002</v>
      </c>
      <c r="G2683" s="1">
        <v>0.83840000000000003</v>
      </c>
      <c r="H2683" s="1">
        <v>0.67579999999999996</v>
      </c>
      <c r="I2683" s="1">
        <v>0.94010000000000005</v>
      </c>
      <c r="J2683" s="1">
        <v>0.66620000000000001</v>
      </c>
      <c r="K2683" s="1">
        <v>0.75960000000000005</v>
      </c>
      <c r="L2683" s="1">
        <v>0.93889999999999996</v>
      </c>
      <c r="M2683" s="1">
        <v>0.92759999999999998</v>
      </c>
      <c r="N2683" s="1">
        <v>1</v>
      </c>
      <c r="O2683">
        <v>27</v>
      </c>
      <c r="P2683">
        <v>94</v>
      </c>
      <c r="Q2683">
        <v>2633</v>
      </c>
    </row>
    <row r="2684" spans="1:17" x14ac:dyDescent="0.25">
      <c r="A2684" t="s">
        <v>200</v>
      </c>
      <c r="B2684" t="s">
        <v>203</v>
      </c>
      <c r="C2684" t="s">
        <v>350</v>
      </c>
      <c r="D2684" t="s">
        <v>768</v>
      </c>
      <c r="E2684" s="1">
        <v>1.77E-2</v>
      </c>
      <c r="F2684" s="1">
        <v>0.1003</v>
      </c>
      <c r="H2684" s="1">
        <v>4.1799999999999997E-2</v>
      </c>
      <c r="I2684" s="1">
        <v>3.8800000000000001E-2</v>
      </c>
      <c r="K2684" s="1">
        <v>9.6100000000000005E-2</v>
      </c>
      <c r="L2684" s="1">
        <v>4.2200000000000001E-2</v>
      </c>
      <c r="M2684" s="1">
        <v>1.01E-2</v>
      </c>
      <c r="O2684">
        <v>27</v>
      </c>
      <c r="P2684">
        <v>94</v>
      </c>
      <c r="Q2684">
        <v>2633</v>
      </c>
    </row>
    <row r="2685" spans="1:17" x14ac:dyDescent="0.25">
      <c r="A2685" t="s">
        <v>200</v>
      </c>
      <c r="B2685" t="s">
        <v>203</v>
      </c>
      <c r="C2685" t="s">
        <v>350</v>
      </c>
      <c r="D2685" t="s">
        <v>208</v>
      </c>
      <c r="E2685" s="1">
        <v>1.9900000000000001E-2</v>
      </c>
      <c r="F2685" s="1">
        <v>0.38300000000000001</v>
      </c>
      <c r="G2685" s="1">
        <v>0.14610000000000001</v>
      </c>
      <c r="H2685" s="1">
        <v>0.24740000000000001</v>
      </c>
      <c r="I2685" s="1">
        <v>1.77E-2</v>
      </c>
      <c r="J2685" s="1">
        <v>0.31619999999999998</v>
      </c>
      <c r="K2685" s="1">
        <v>0.14430000000000001</v>
      </c>
      <c r="L2685" s="1">
        <v>1.55E-2</v>
      </c>
      <c r="M2685" s="1">
        <v>6.2300000000000001E-2</v>
      </c>
      <c r="O2685">
        <v>27</v>
      </c>
      <c r="P2685">
        <v>94</v>
      </c>
      <c r="Q2685">
        <v>2633</v>
      </c>
    </row>
    <row r="2686" spans="1:17" x14ac:dyDescent="0.25">
      <c r="A2686" t="s">
        <v>201</v>
      </c>
      <c r="B2686" t="s">
        <v>203</v>
      </c>
      <c r="C2686" t="s">
        <v>348</v>
      </c>
      <c r="D2686" t="s">
        <v>766</v>
      </c>
      <c r="E2686" s="1">
        <v>1.7000000000000001E-2</v>
      </c>
      <c r="F2686" s="1">
        <v>6.3799999999999996E-2</v>
      </c>
      <c r="G2686" s="1">
        <v>1.32E-2</v>
      </c>
      <c r="I2686" s="1">
        <v>6.83E-2</v>
      </c>
      <c r="K2686" s="1">
        <v>2.5499999999999998E-2</v>
      </c>
      <c r="L2686" s="1">
        <v>3.8699999999999998E-2</v>
      </c>
      <c r="O2686">
        <v>15</v>
      </c>
      <c r="P2686">
        <v>62</v>
      </c>
      <c r="Q2686">
        <v>2633</v>
      </c>
    </row>
    <row r="2687" spans="1:17" x14ac:dyDescent="0.25">
      <c r="A2687" t="s">
        <v>201</v>
      </c>
      <c r="B2687" t="s">
        <v>203</v>
      </c>
      <c r="C2687" t="s">
        <v>348</v>
      </c>
      <c r="D2687" t="s">
        <v>767</v>
      </c>
      <c r="E2687" s="1">
        <v>0.89880000000000004</v>
      </c>
      <c r="F2687" s="1">
        <v>0.42880000000000001</v>
      </c>
      <c r="G2687" s="1">
        <v>0.85199999999999998</v>
      </c>
      <c r="H2687" s="1">
        <v>0.67390000000000005</v>
      </c>
      <c r="I2687" s="1">
        <v>0.79149999999999998</v>
      </c>
      <c r="J2687" s="1">
        <v>0.7702</v>
      </c>
      <c r="K2687" s="1">
        <v>0.71560000000000001</v>
      </c>
      <c r="L2687" s="1">
        <v>0.91810000000000003</v>
      </c>
      <c r="M2687" s="1">
        <v>0.90959999999999996</v>
      </c>
      <c r="N2687" s="1">
        <v>0.91739999999999999</v>
      </c>
      <c r="O2687">
        <v>15</v>
      </c>
      <c r="P2687">
        <v>62</v>
      </c>
      <c r="Q2687">
        <v>2633</v>
      </c>
    </row>
    <row r="2688" spans="1:17" x14ac:dyDescent="0.25">
      <c r="A2688" t="s">
        <v>201</v>
      </c>
      <c r="B2688" t="s">
        <v>203</v>
      </c>
      <c r="C2688" t="s">
        <v>348</v>
      </c>
      <c r="D2688" t="s">
        <v>768</v>
      </c>
      <c r="E2688" s="1">
        <v>1.32E-2</v>
      </c>
      <c r="F2688" s="1">
        <v>0.1222</v>
      </c>
      <c r="H2688" s="1">
        <v>5.0999999999999997E-2</v>
      </c>
      <c r="I2688" s="1">
        <v>0.12770000000000001</v>
      </c>
      <c r="K2688" s="1">
        <v>0.19520000000000001</v>
      </c>
      <c r="L2688" s="1">
        <v>4.3299999999999998E-2</v>
      </c>
      <c r="M2688" s="1">
        <v>2.5499999999999998E-2</v>
      </c>
      <c r="N2688" s="1">
        <v>4.3900000000000002E-2</v>
      </c>
      <c r="O2688">
        <v>15</v>
      </c>
      <c r="P2688">
        <v>62</v>
      </c>
      <c r="Q2688">
        <v>2633</v>
      </c>
    </row>
    <row r="2689" spans="1:17" x14ac:dyDescent="0.25">
      <c r="A2689" t="s">
        <v>201</v>
      </c>
      <c r="B2689" t="s">
        <v>203</v>
      </c>
      <c r="C2689" t="s">
        <v>348</v>
      </c>
      <c r="D2689" t="s">
        <v>208</v>
      </c>
      <c r="E2689" s="1">
        <v>7.0999999999999994E-2</v>
      </c>
      <c r="F2689" s="1">
        <v>0.3851</v>
      </c>
      <c r="G2689" s="1">
        <v>0.13469999999999999</v>
      </c>
      <c r="H2689" s="1">
        <v>0.27510000000000001</v>
      </c>
      <c r="I2689" s="1">
        <v>1.26E-2</v>
      </c>
      <c r="J2689" s="1">
        <v>0.2298</v>
      </c>
      <c r="K2689" s="1">
        <v>6.3700000000000007E-2</v>
      </c>
      <c r="M2689" s="1">
        <v>6.4799999999999996E-2</v>
      </c>
      <c r="N2689" s="1">
        <v>3.8699999999999998E-2</v>
      </c>
      <c r="O2689">
        <v>15</v>
      </c>
      <c r="P2689">
        <v>62</v>
      </c>
      <c r="Q2689">
        <v>2633</v>
      </c>
    </row>
    <row r="2690" spans="1:17" x14ac:dyDescent="0.25">
      <c r="A2690" t="s">
        <v>201</v>
      </c>
      <c r="B2690" t="s">
        <v>203</v>
      </c>
      <c r="C2690" t="s">
        <v>349</v>
      </c>
      <c r="D2690" t="s">
        <v>766</v>
      </c>
      <c r="E2690" s="1">
        <v>8.5000000000000006E-3</v>
      </c>
      <c r="F2690" s="1">
        <v>2.98E-2</v>
      </c>
      <c r="H2690" s="1">
        <v>6.8599999999999994E-2</v>
      </c>
      <c r="I2690" s="1">
        <v>1.4800000000000001E-2</v>
      </c>
      <c r="J2690" s="1">
        <v>2.7400000000000001E-2</v>
      </c>
      <c r="K2690" s="1">
        <v>2.0000000000000001E-4</v>
      </c>
      <c r="L2690" s="1">
        <v>1.7000000000000001E-2</v>
      </c>
      <c r="O2690">
        <v>115</v>
      </c>
      <c r="P2690">
        <v>147</v>
      </c>
      <c r="Q2690">
        <v>2633</v>
      </c>
    </row>
    <row r="2691" spans="1:17" x14ac:dyDescent="0.25">
      <c r="A2691" t="s">
        <v>201</v>
      </c>
      <c r="B2691" t="s">
        <v>203</v>
      </c>
      <c r="C2691" t="s">
        <v>349</v>
      </c>
      <c r="D2691" t="s">
        <v>767</v>
      </c>
      <c r="E2691" s="1">
        <v>0.92130000000000001</v>
      </c>
      <c r="F2691" s="1">
        <v>0.63429999999999997</v>
      </c>
      <c r="G2691" s="1">
        <v>0.93100000000000005</v>
      </c>
      <c r="H2691" s="1">
        <v>0.7853</v>
      </c>
      <c r="I2691" s="1">
        <v>0.93359999999999999</v>
      </c>
      <c r="J2691" s="1">
        <v>0.83919999999999995</v>
      </c>
      <c r="K2691" s="1">
        <v>0.77339999999999998</v>
      </c>
      <c r="L2691" s="1">
        <v>0.93700000000000006</v>
      </c>
      <c r="M2691" s="1">
        <v>0.9698</v>
      </c>
      <c r="N2691" s="1">
        <v>0.95840000000000003</v>
      </c>
      <c r="O2691">
        <v>115</v>
      </c>
      <c r="P2691">
        <v>147</v>
      </c>
      <c r="Q2691">
        <v>2633</v>
      </c>
    </row>
    <row r="2692" spans="1:17" x14ac:dyDescent="0.25">
      <c r="A2692" t="s">
        <v>201</v>
      </c>
      <c r="B2692" t="s">
        <v>203</v>
      </c>
      <c r="C2692" t="s">
        <v>349</v>
      </c>
      <c r="D2692" t="s">
        <v>768</v>
      </c>
      <c r="E2692" s="1">
        <v>3.39E-2</v>
      </c>
      <c r="F2692" s="1">
        <v>4.2799999999999998E-2</v>
      </c>
      <c r="G2692" s="1">
        <v>1.7299999999999999E-2</v>
      </c>
      <c r="H2692" s="1">
        <v>2.7300000000000001E-2</v>
      </c>
      <c r="I2692" s="1">
        <v>2.41E-2</v>
      </c>
      <c r="J2692" s="1">
        <v>6.7999999999999996E-3</v>
      </c>
      <c r="K2692" s="1">
        <v>0.20530000000000001</v>
      </c>
      <c r="L2692" s="1">
        <v>4.5900000000000003E-2</v>
      </c>
      <c r="M2692" s="1">
        <v>2.52E-2</v>
      </c>
      <c r="N2692" s="1">
        <v>3.3000000000000002E-2</v>
      </c>
      <c r="O2692">
        <v>115</v>
      </c>
      <c r="P2692">
        <v>147</v>
      </c>
      <c r="Q2692">
        <v>2633</v>
      </c>
    </row>
    <row r="2693" spans="1:17" x14ac:dyDescent="0.25">
      <c r="A2693" t="s">
        <v>201</v>
      </c>
      <c r="B2693" t="s">
        <v>203</v>
      </c>
      <c r="C2693" t="s">
        <v>349</v>
      </c>
      <c r="D2693" t="s">
        <v>208</v>
      </c>
      <c r="E2693" s="1">
        <v>3.6299999999999999E-2</v>
      </c>
      <c r="F2693" s="1">
        <v>0.29310000000000003</v>
      </c>
      <c r="G2693" s="1">
        <v>5.1700000000000003E-2</v>
      </c>
      <c r="H2693" s="1">
        <v>0.1188</v>
      </c>
      <c r="I2693" s="1">
        <v>2.7400000000000001E-2</v>
      </c>
      <c r="J2693" s="1">
        <v>0.12659999999999999</v>
      </c>
      <c r="K2693" s="1">
        <v>2.1000000000000001E-2</v>
      </c>
      <c r="M2693" s="1">
        <v>5.0000000000000001E-3</v>
      </c>
      <c r="N2693" s="1">
        <v>8.5000000000000006E-3</v>
      </c>
      <c r="O2693">
        <v>115</v>
      </c>
      <c r="P2693">
        <v>147</v>
      </c>
      <c r="Q2693">
        <v>2633</v>
      </c>
    </row>
    <row r="2694" spans="1:17" x14ac:dyDescent="0.25">
      <c r="A2694" t="s">
        <v>201</v>
      </c>
      <c r="B2694" t="s">
        <v>203</v>
      </c>
      <c r="C2694" t="s">
        <v>350</v>
      </c>
      <c r="D2694" t="s">
        <v>766</v>
      </c>
      <c r="E2694" s="1">
        <v>2.1700000000000001E-2</v>
      </c>
      <c r="F2694" s="1">
        <v>9.4899999999999998E-2</v>
      </c>
      <c r="H2694" s="1">
        <v>3.0000000000000001E-3</v>
      </c>
      <c r="O2694">
        <v>10</v>
      </c>
      <c r="P2694">
        <v>105</v>
      </c>
      <c r="Q2694">
        <v>2633</v>
      </c>
    </row>
    <row r="2695" spans="1:17" x14ac:dyDescent="0.25">
      <c r="A2695" t="s">
        <v>201</v>
      </c>
      <c r="B2695" t="s">
        <v>203</v>
      </c>
      <c r="C2695" t="s">
        <v>350</v>
      </c>
      <c r="D2695" t="s">
        <v>767</v>
      </c>
      <c r="E2695" s="1">
        <v>0.88060000000000005</v>
      </c>
      <c r="F2695" s="1">
        <v>0.27929999999999999</v>
      </c>
      <c r="G2695" s="1">
        <v>0.94550000000000001</v>
      </c>
      <c r="H2695" s="1">
        <v>0.65429999999999999</v>
      </c>
      <c r="I2695" s="1">
        <v>0.86160000000000003</v>
      </c>
      <c r="J2695" s="1">
        <v>0.56089999999999995</v>
      </c>
      <c r="K2695" s="1">
        <v>0.84540000000000004</v>
      </c>
      <c r="L2695" s="1">
        <v>0.89429999999999998</v>
      </c>
      <c r="M2695" s="1">
        <v>0.84540000000000004</v>
      </c>
      <c r="N2695" s="1">
        <v>1</v>
      </c>
      <c r="O2695">
        <v>10</v>
      </c>
      <c r="P2695">
        <v>105</v>
      </c>
      <c r="Q2695">
        <v>2633</v>
      </c>
    </row>
    <row r="2696" spans="1:17" x14ac:dyDescent="0.25">
      <c r="A2696" t="s">
        <v>201</v>
      </c>
      <c r="B2696" t="s">
        <v>203</v>
      </c>
      <c r="C2696" t="s">
        <v>350</v>
      </c>
      <c r="D2696" t="s">
        <v>768</v>
      </c>
      <c r="E2696" s="1">
        <v>7.8700000000000006E-2</v>
      </c>
      <c r="F2696" s="1">
        <v>0.1167</v>
      </c>
      <c r="G2696" s="1">
        <v>1.9E-2</v>
      </c>
      <c r="H2696" s="1">
        <v>9.6299999999999997E-2</v>
      </c>
      <c r="I2696" s="1">
        <v>0.11940000000000001</v>
      </c>
      <c r="J2696" s="1">
        <v>1.6199999999999999E-2</v>
      </c>
      <c r="K2696" s="1">
        <v>8.6900000000000005E-2</v>
      </c>
      <c r="L2696" s="1">
        <v>0.1057</v>
      </c>
      <c r="M2696" s="1">
        <v>2.1700000000000001E-2</v>
      </c>
      <c r="O2696">
        <v>10</v>
      </c>
      <c r="P2696">
        <v>105</v>
      </c>
      <c r="Q2696">
        <v>2633</v>
      </c>
    </row>
    <row r="2697" spans="1:17" x14ac:dyDescent="0.25">
      <c r="A2697" t="s">
        <v>201</v>
      </c>
      <c r="B2697" t="s">
        <v>203</v>
      </c>
      <c r="C2697" t="s">
        <v>350</v>
      </c>
      <c r="D2697" t="s">
        <v>208</v>
      </c>
      <c r="E2697" s="1">
        <v>1.9E-2</v>
      </c>
      <c r="F2697" s="1">
        <v>0.5091</v>
      </c>
      <c r="G2697" s="1">
        <v>3.5499999999999997E-2</v>
      </c>
      <c r="H2697" s="1">
        <v>0.24640000000000001</v>
      </c>
      <c r="I2697" s="1">
        <v>1.9E-2</v>
      </c>
      <c r="J2697" s="1">
        <v>0.4229</v>
      </c>
      <c r="K2697" s="1">
        <v>6.7699999999999996E-2</v>
      </c>
      <c r="M2697" s="1">
        <v>0.13289999999999999</v>
      </c>
      <c r="O2697">
        <v>10</v>
      </c>
      <c r="P2697">
        <v>105</v>
      </c>
      <c r="Q2697">
        <v>2633</v>
      </c>
    </row>
    <row r="2698" spans="1:17" x14ac:dyDescent="0.25">
      <c r="A2698" t="s">
        <v>202</v>
      </c>
      <c r="B2698" t="s">
        <v>203</v>
      </c>
      <c r="C2698" t="s">
        <v>348</v>
      </c>
      <c r="D2698" t="s">
        <v>767</v>
      </c>
      <c r="E2698" s="1">
        <v>0.97629999999999995</v>
      </c>
      <c r="F2698" s="1">
        <v>0.71350000000000002</v>
      </c>
      <c r="G2698" s="1">
        <v>0.98380000000000001</v>
      </c>
      <c r="H2698" s="1">
        <v>0.83089999999999997</v>
      </c>
      <c r="I2698" s="1">
        <v>0.91649999999999998</v>
      </c>
      <c r="J2698" s="1">
        <v>0.8337</v>
      </c>
      <c r="K2698" s="1">
        <v>0.90369999999999995</v>
      </c>
      <c r="L2698" s="1">
        <v>0.95069999999999999</v>
      </c>
      <c r="M2698" s="1">
        <v>0.94420000000000004</v>
      </c>
      <c r="N2698" s="1">
        <v>0.97519999999999996</v>
      </c>
      <c r="O2698">
        <v>131</v>
      </c>
      <c r="P2698">
        <v>90</v>
      </c>
      <c r="Q2698">
        <v>2633</v>
      </c>
    </row>
    <row r="2699" spans="1:17" x14ac:dyDescent="0.25">
      <c r="A2699" t="s">
        <v>202</v>
      </c>
      <c r="B2699" t="s">
        <v>203</v>
      </c>
      <c r="C2699" t="s">
        <v>348</v>
      </c>
      <c r="D2699" t="s">
        <v>768</v>
      </c>
      <c r="E2699" s="1">
        <v>1.0200000000000001E-2</v>
      </c>
      <c r="F2699" s="1">
        <v>4.5999999999999999E-2</v>
      </c>
      <c r="H2699" s="1">
        <v>3.5200000000000002E-2</v>
      </c>
      <c r="I2699" s="1">
        <v>5.5399999999999998E-2</v>
      </c>
      <c r="J2699" s="1">
        <v>1.0200000000000001E-2</v>
      </c>
      <c r="K2699" s="1">
        <v>7.2099999999999997E-2</v>
      </c>
      <c r="L2699" s="1">
        <v>4.9299999999999997E-2</v>
      </c>
      <c r="M2699" s="1">
        <v>5.8999999999999999E-3</v>
      </c>
      <c r="N2699" s="1">
        <v>5.8999999999999999E-3</v>
      </c>
      <c r="O2699">
        <v>131</v>
      </c>
      <c r="P2699">
        <v>90</v>
      </c>
      <c r="Q2699">
        <v>2633</v>
      </c>
    </row>
    <row r="2700" spans="1:17" x14ac:dyDescent="0.25">
      <c r="A2700" t="s">
        <v>202</v>
      </c>
      <c r="B2700" t="s">
        <v>203</v>
      </c>
      <c r="C2700" t="s">
        <v>348</v>
      </c>
      <c r="D2700" t="s">
        <v>208</v>
      </c>
      <c r="E2700" s="1">
        <v>1.35E-2</v>
      </c>
      <c r="F2700" s="1">
        <v>0.24049999999999999</v>
      </c>
      <c r="G2700" s="1">
        <v>1.6199999999999999E-2</v>
      </c>
      <c r="H2700" s="1">
        <v>0.13389999999999999</v>
      </c>
      <c r="I2700" s="1">
        <v>2.2200000000000001E-2</v>
      </c>
      <c r="J2700" s="1">
        <v>0.156</v>
      </c>
      <c r="K2700" s="1">
        <v>1.83E-2</v>
      </c>
      <c r="M2700" s="1">
        <v>4.3900000000000002E-2</v>
      </c>
      <c r="N2700" s="1">
        <v>1.52E-2</v>
      </c>
      <c r="O2700">
        <v>131</v>
      </c>
      <c r="P2700">
        <v>90</v>
      </c>
      <c r="Q2700">
        <v>2633</v>
      </c>
    </row>
    <row r="2701" spans="1:17" x14ac:dyDescent="0.25">
      <c r="A2701" t="s">
        <v>204</v>
      </c>
      <c r="B2701" t="s">
        <v>204</v>
      </c>
      <c r="C2701" t="s">
        <v>204</v>
      </c>
      <c r="D2701" t="s">
        <v>766</v>
      </c>
      <c r="E2701" s="1">
        <v>1.0999999999999999E-2</v>
      </c>
      <c r="F2701" s="1">
        <v>6.9900000000000004E-2</v>
      </c>
      <c r="G2701" s="1">
        <v>4.0000000000000001E-3</v>
      </c>
      <c r="H2701" s="1">
        <v>7.9000000000000008E-3</v>
      </c>
      <c r="I2701" s="1">
        <v>9.7999999999999997E-3</v>
      </c>
      <c r="J2701" s="1">
        <v>6.1999999999999998E-3</v>
      </c>
      <c r="K2701" s="1">
        <v>1.2999999999999999E-3</v>
      </c>
      <c r="L2701" s="1">
        <v>6.3E-3</v>
      </c>
      <c r="M2701" s="1">
        <v>1E-3</v>
      </c>
      <c r="N2701" s="1">
        <v>2.9999999999999997E-4</v>
      </c>
      <c r="O2701">
        <v>2633</v>
      </c>
      <c r="P2701">
        <v>2633</v>
      </c>
      <c r="Q2701">
        <v>2633</v>
      </c>
    </row>
    <row r="2702" spans="1:17" x14ac:dyDescent="0.25">
      <c r="A2702" t="s">
        <v>204</v>
      </c>
      <c r="B2702" t="s">
        <v>204</v>
      </c>
      <c r="C2702" t="s">
        <v>204</v>
      </c>
      <c r="D2702" t="s">
        <v>767</v>
      </c>
      <c r="E2702" s="1">
        <v>0.84909999999999997</v>
      </c>
      <c r="F2702" s="1">
        <v>0.49330000000000002</v>
      </c>
      <c r="G2702" s="1">
        <v>0.90210000000000001</v>
      </c>
      <c r="H2702" s="1">
        <v>0.70899999999999996</v>
      </c>
      <c r="I2702" s="1">
        <v>0.78359999999999996</v>
      </c>
      <c r="J2702" s="1">
        <v>0.74</v>
      </c>
      <c r="K2702" s="1">
        <v>0.78490000000000004</v>
      </c>
      <c r="L2702" s="1">
        <v>0.78949999999999998</v>
      </c>
      <c r="M2702" s="1">
        <v>0.91649999999999998</v>
      </c>
      <c r="N2702" s="1">
        <v>0.96540000000000004</v>
      </c>
      <c r="O2702">
        <v>2633</v>
      </c>
      <c r="P2702">
        <v>2633</v>
      </c>
      <c r="Q2702">
        <v>2633</v>
      </c>
    </row>
    <row r="2703" spans="1:17" x14ac:dyDescent="0.25">
      <c r="A2703" t="s">
        <v>204</v>
      </c>
      <c r="B2703" t="s">
        <v>204</v>
      </c>
      <c r="C2703" t="s">
        <v>204</v>
      </c>
      <c r="D2703" t="s">
        <v>768</v>
      </c>
      <c r="E2703" s="1">
        <v>0.1038</v>
      </c>
      <c r="F2703" s="1">
        <v>0.11070000000000001</v>
      </c>
      <c r="G2703" s="1">
        <v>1.46E-2</v>
      </c>
      <c r="H2703" s="1">
        <v>8.3500000000000005E-2</v>
      </c>
      <c r="I2703" s="1">
        <v>0.18679999999999999</v>
      </c>
      <c r="J2703" s="1">
        <v>2.01E-2</v>
      </c>
      <c r="K2703" s="1">
        <v>0.1731</v>
      </c>
      <c r="L2703" s="1">
        <v>0.1988</v>
      </c>
      <c r="M2703" s="1">
        <v>5.0999999999999997E-2</v>
      </c>
      <c r="N2703" s="1">
        <v>2.6200000000000001E-2</v>
      </c>
      <c r="O2703">
        <v>2633</v>
      </c>
      <c r="P2703">
        <v>2633</v>
      </c>
      <c r="Q2703">
        <v>2633</v>
      </c>
    </row>
    <row r="2704" spans="1:17" x14ac:dyDescent="0.25">
      <c r="A2704" t="s">
        <v>204</v>
      </c>
      <c r="B2704" t="s">
        <v>204</v>
      </c>
      <c r="C2704" t="s">
        <v>204</v>
      </c>
      <c r="D2704" t="s">
        <v>208</v>
      </c>
      <c r="E2704" s="1">
        <v>3.5999999999999997E-2</v>
      </c>
      <c r="F2704" s="1">
        <v>0.3261</v>
      </c>
      <c r="G2704" s="1">
        <v>7.9299999999999995E-2</v>
      </c>
      <c r="H2704" s="1">
        <v>0.1996</v>
      </c>
      <c r="I2704" s="1">
        <v>1.9800000000000002E-2</v>
      </c>
      <c r="J2704" s="1">
        <v>0.23369999999999999</v>
      </c>
      <c r="K2704" s="1">
        <v>4.0599999999999997E-2</v>
      </c>
      <c r="L2704" s="1">
        <v>5.4999999999999997E-3</v>
      </c>
      <c r="M2704" s="1">
        <v>3.15E-2</v>
      </c>
      <c r="N2704" s="1">
        <v>8.0999999999999996E-3</v>
      </c>
      <c r="O2704">
        <v>2633</v>
      </c>
      <c r="P2704">
        <v>2633</v>
      </c>
      <c r="Q2704">
        <v>2633</v>
      </c>
    </row>
    <row r="2706" spans="1:11" x14ac:dyDescent="0.25">
      <c r="A2706" t="s">
        <v>771</v>
      </c>
    </row>
    <row r="2707" spans="1:11" x14ac:dyDescent="0.25">
      <c r="A2707" t="s">
        <v>190</v>
      </c>
      <c r="B2707" t="s">
        <v>195</v>
      </c>
      <c r="C2707" t="s">
        <v>189</v>
      </c>
      <c r="D2707" t="s">
        <v>196</v>
      </c>
      <c r="E2707" t="s">
        <v>220</v>
      </c>
      <c r="F2707" t="s">
        <v>772</v>
      </c>
      <c r="G2707" t="s">
        <v>773</v>
      </c>
      <c r="H2707" t="s">
        <v>774</v>
      </c>
      <c r="I2707" t="s">
        <v>775</v>
      </c>
      <c r="J2707" t="s">
        <v>776</v>
      </c>
    </row>
    <row r="2708" spans="1:11" x14ac:dyDescent="0.25">
      <c r="A2708" t="s">
        <v>198</v>
      </c>
      <c r="B2708">
        <v>54</v>
      </c>
      <c r="C2708" t="s">
        <v>197</v>
      </c>
      <c r="D2708">
        <v>1589</v>
      </c>
      <c r="G2708" s="1">
        <v>4.8899999999999999E-2</v>
      </c>
      <c r="H2708" s="1">
        <v>0.64</v>
      </c>
      <c r="I2708" s="1">
        <v>0.69940000000000002</v>
      </c>
      <c r="J2708" s="1">
        <v>0.46460000000000001</v>
      </c>
    </row>
    <row r="2709" spans="1:11" x14ac:dyDescent="0.25">
      <c r="A2709" t="s">
        <v>198</v>
      </c>
      <c r="B2709">
        <v>256</v>
      </c>
      <c r="C2709" t="s">
        <v>199</v>
      </c>
      <c r="D2709">
        <v>1589</v>
      </c>
      <c r="E2709" s="1">
        <v>0.10100000000000001</v>
      </c>
      <c r="F2709" s="1">
        <v>3.5700000000000003E-2</v>
      </c>
      <c r="G2709" s="1">
        <v>0.17</v>
      </c>
      <c r="H2709" s="1">
        <v>0.60229999999999995</v>
      </c>
      <c r="I2709" s="1">
        <v>0.42430000000000001</v>
      </c>
      <c r="J2709" s="1">
        <v>0.60519999999999996</v>
      </c>
    </row>
    <row r="2710" spans="1:11" x14ac:dyDescent="0.25">
      <c r="A2710" t="s">
        <v>198</v>
      </c>
      <c r="B2710">
        <v>244</v>
      </c>
      <c r="C2710" t="s">
        <v>200</v>
      </c>
      <c r="D2710">
        <v>1589</v>
      </c>
      <c r="E2710" s="1">
        <v>5.9400000000000001E-2</v>
      </c>
      <c r="F2710" s="1">
        <v>6.1600000000000002E-2</v>
      </c>
      <c r="G2710" s="1">
        <v>0.1048</v>
      </c>
      <c r="H2710" s="1">
        <v>0.55149999999999999</v>
      </c>
      <c r="I2710" s="1">
        <v>0.50149999999999995</v>
      </c>
      <c r="J2710" s="1">
        <v>0.56140000000000001</v>
      </c>
    </row>
    <row r="2711" spans="1:11" x14ac:dyDescent="0.25">
      <c r="A2711" t="s">
        <v>198</v>
      </c>
      <c r="B2711">
        <v>190</v>
      </c>
      <c r="C2711" t="s">
        <v>201</v>
      </c>
      <c r="D2711">
        <v>1589</v>
      </c>
      <c r="E2711" s="1">
        <v>3.7900000000000003E-2</v>
      </c>
      <c r="F2711" s="1">
        <v>1.89E-2</v>
      </c>
      <c r="G2711" s="1">
        <v>0.14319999999999999</v>
      </c>
      <c r="H2711" s="1">
        <v>0.62939999999999996</v>
      </c>
      <c r="I2711" s="1">
        <v>0.45569999999999999</v>
      </c>
      <c r="J2711" s="1">
        <v>0.62339999999999995</v>
      </c>
    </row>
    <row r="2712" spans="1:11" x14ac:dyDescent="0.25">
      <c r="A2712" t="s">
        <v>198</v>
      </c>
      <c r="B2712">
        <v>62</v>
      </c>
      <c r="C2712" t="s">
        <v>202</v>
      </c>
      <c r="D2712">
        <v>1589</v>
      </c>
      <c r="E2712" s="1">
        <v>8.5900000000000004E-2</v>
      </c>
      <c r="F2712" s="1">
        <v>2.6499999999999999E-2</v>
      </c>
      <c r="G2712" s="1">
        <v>0.1026</v>
      </c>
      <c r="H2712" s="1">
        <v>0.69869999999999999</v>
      </c>
      <c r="I2712" s="1">
        <v>0.44230000000000003</v>
      </c>
      <c r="J2712" s="1">
        <v>0.6603</v>
      </c>
    </row>
    <row r="2713" spans="1:11" x14ac:dyDescent="0.25">
      <c r="A2713" t="s">
        <v>203</v>
      </c>
      <c r="B2713">
        <v>331</v>
      </c>
      <c r="C2713" t="s">
        <v>199</v>
      </c>
      <c r="D2713">
        <v>1589</v>
      </c>
      <c r="E2713" s="1">
        <v>5.8599999999999999E-2</v>
      </c>
      <c r="F2713" s="1">
        <v>5.79E-2</v>
      </c>
      <c r="G2713" s="1">
        <v>9.3799999999999994E-2</v>
      </c>
      <c r="H2713" s="1">
        <v>0.55020000000000002</v>
      </c>
      <c r="I2713" s="1">
        <v>0.54790000000000005</v>
      </c>
      <c r="J2713" s="1">
        <v>0.53029999999999999</v>
      </c>
    </row>
    <row r="2714" spans="1:11" x14ac:dyDescent="0.25">
      <c r="A2714" t="s">
        <v>203</v>
      </c>
      <c r="B2714">
        <v>224</v>
      </c>
      <c r="C2714" t="s">
        <v>200</v>
      </c>
      <c r="D2714">
        <v>1589</v>
      </c>
      <c r="E2714" s="1">
        <v>4.8999999999999998E-3</v>
      </c>
      <c r="F2714" s="1">
        <v>4.7699999999999999E-2</v>
      </c>
      <c r="G2714" s="1">
        <v>0.15329999999999999</v>
      </c>
      <c r="H2714" s="1">
        <v>0.67969999999999997</v>
      </c>
      <c r="I2714" s="1">
        <v>0.55430000000000001</v>
      </c>
      <c r="J2714" s="1">
        <v>0.61109999999999998</v>
      </c>
    </row>
    <row r="2715" spans="1:11" x14ac:dyDescent="0.25">
      <c r="A2715" t="s">
        <v>203</v>
      </c>
      <c r="B2715">
        <v>189</v>
      </c>
      <c r="C2715" t="s">
        <v>201</v>
      </c>
      <c r="D2715">
        <v>1589</v>
      </c>
      <c r="E2715" s="1">
        <v>8.3099999999999993E-2</v>
      </c>
      <c r="F2715" s="1">
        <v>0.13689999999999999</v>
      </c>
      <c r="G2715" s="1">
        <v>4.3299999999999998E-2</v>
      </c>
      <c r="H2715" s="1">
        <v>0.34200000000000003</v>
      </c>
      <c r="I2715" s="1">
        <v>0.46970000000000001</v>
      </c>
      <c r="J2715" s="1">
        <v>0.50080000000000002</v>
      </c>
    </row>
    <row r="2716" spans="1:11" x14ac:dyDescent="0.25">
      <c r="A2716" t="s">
        <v>203</v>
      </c>
      <c r="B2716">
        <v>39</v>
      </c>
      <c r="C2716" t="s">
        <v>202</v>
      </c>
      <c r="D2716">
        <v>1589</v>
      </c>
      <c r="F2716" s="1">
        <v>2.7199999999999998E-2</v>
      </c>
      <c r="G2716" s="1">
        <v>0.1067</v>
      </c>
      <c r="H2716" s="1">
        <v>0.36880000000000002</v>
      </c>
      <c r="I2716" s="1">
        <v>0.72509999999999997</v>
      </c>
      <c r="J2716" s="1">
        <v>0.38429999999999997</v>
      </c>
    </row>
    <row r="2717" spans="1:11" x14ac:dyDescent="0.25">
      <c r="A2717" t="s">
        <v>204</v>
      </c>
      <c r="B2717">
        <v>1589</v>
      </c>
      <c r="C2717" t="s">
        <v>204</v>
      </c>
      <c r="D2717">
        <v>1589</v>
      </c>
      <c r="E2717" s="1">
        <v>5.1299999999999998E-2</v>
      </c>
      <c r="F2717" s="1">
        <v>4.3700000000000003E-2</v>
      </c>
      <c r="G2717" s="1">
        <v>0.11700000000000001</v>
      </c>
      <c r="H2717" s="1">
        <v>0.59919999999999995</v>
      </c>
      <c r="I2717" s="1">
        <v>0.51839999999999997</v>
      </c>
      <c r="J2717" s="1">
        <v>0.57299999999999995</v>
      </c>
    </row>
    <row r="2719" spans="1:11" x14ac:dyDescent="0.25">
      <c r="A2719" t="s">
        <v>777</v>
      </c>
    </row>
    <row r="2720" spans="1:11" x14ac:dyDescent="0.25">
      <c r="A2720" t="s">
        <v>190</v>
      </c>
      <c r="B2720" t="s">
        <v>206</v>
      </c>
      <c r="C2720" t="s">
        <v>195</v>
      </c>
      <c r="D2720" t="s">
        <v>189</v>
      </c>
      <c r="E2720" t="s">
        <v>196</v>
      </c>
      <c r="F2720" t="s">
        <v>220</v>
      </c>
      <c r="G2720" t="s">
        <v>772</v>
      </c>
      <c r="H2720" t="s">
        <v>773</v>
      </c>
      <c r="I2720" t="s">
        <v>774</v>
      </c>
      <c r="J2720" t="s">
        <v>775</v>
      </c>
      <c r="K2720" t="s">
        <v>776</v>
      </c>
    </row>
    <row r="2721" spans="1:11" s="29" customFormat="1" x14ac:dyDescent="0.25">
      <c r="A2721" s="29" t="s">
        <v>198</v>
      </c>
      <c r="B2721" s="29" t="s">
        <v>228</v>
      </c>
      <c r="C2721" s="29">
        <v>19</v>
      </c>
      <c r="D2721" s="29" t="s">
        <v>197</v>
      </c>
      <c r="E2721" s="29">
        <v>1589</v>
      </c>
      <c r="H2721" s="30">
        <v>8.3299999999999999E-2</v>
      </c>
      <c r="I2721" s="30">
        <v>0.61439999999999995</v>
      </c>
      <c r="J2721" s="30">
        <v>0.64100000000000001</v>
      </c>
      <c r="K2721" s="30">
        <v>0.3221</v>
      </c>
    </row>
    <row r="2722" spans="1:11" x14ac:dyDescent="0.25">
      <c r="A2722" t="s">
        <v>198</v>
      </c>
      <c r="B2722" t="s">
        <v>229</v>
      </c>
      <c r="C2722">
        <v>35</v>
      </c>
      <c r="D2722" t="s">
        <v>197</v>
      </c>
      <c r="E2722">
        <v>1589</v>
      </c>
      <c r="H2722" s="1">
        <v>2.6800000000000001E-2</v>
      </c>
      <c r="I2722" s="1">
        <v>0.65649999999999997</v>
      </c>
      <c r="J2722" s="1">
        <v>0.73699999999999999</v>
      </c>
      <c r="K2722" s="1">
        <v>0.55640000000000001</v>
      </c>
    </row>
    <row r="2723" spans="1:11" x14ac:dyDescent="0.25">
      <c r="A2723" t="s">
        <v>198</v>
      </c>
      <c r="B2723" t="s">
        <v>228</v>
      </c>
      <c r="C2723">
        <v>110</v>
      </c>
      <c r="D2723" t="s">
        <v>199</v>
      </c>
      <c r="E2723">
        <v>1589</v>
      </c>
      <c r="F2723" s="1">
        <v>7.3700000000000002E-2</v>
      </c>
      <c r="G2723" s="1">
        <v>0.1077</v>
      </c>
      <c r="H2723" s="1">
        <v>0.16950000000000001</v>
      </c>
      <c r="I2723" s="1">
        <v>0.5756</v>
      </c>
      <c r="J2723" s="1">
        <v>0.49149999999999999</v>
      </c>
      <c r="K2723" s="1">
        <v>0.66479999999999995</v>
      </c>
    </row>
    <row r="2724" spans="1:11" x14ac:dyDescent="0.25">
      <c r="A2724" t="s">
        <v>198</v>
      </c>
      <c r="B2724" t="s">
        <v>229</v>
      </c>
      <c r="C2724">
        <v>140</v>
      </c>
      <c r="D2724" t="s">
        <v>199</v>
      </c>
      <c r="E2724">
        <v>1589</v>
      </c>
      <c r="F2724" s="1">
        <v>0.112</v>
      </c>
      <c r="G2724" s="1">
        <v>5.4999999999999997E-3</v>
      </c>
      <c r="H2724" s="1">
        <v>0.16750000000000001</v>
      </c>
      <c r="I2724" s="1">
        <v>0.61019999999999996</v>
      </c>
      <c r="J2724" s="1">
        <v>0.39579999999999999</v>
      </c>
      <c r="K2724" s="1">
        <v>0.58099999999999996</v>
      </c>
    </row>
    <row r="2725" spans="1:11" x14ac:dyDescent="0.25">
      <c r="A2725" t="s">
        <v>198</v>
      </c>
      <c r="B2725" t="s">
        <v>229</v>
      </c>
      <c r="C2725">
        <v>175</v>
      </c>
      <c r="D2725" t="s">
        <v>200</v>
      </c>
      <c r="E2725">
        <v>1589</v>
      </c>
      <c r="F2725" s="1">
        <v>6.5000000000000002E-2</v>
      </c>
      <c r="G2725" s="1">
        <v>6.5299999999999997E-2</v>
      </c>
      <c r="H2725" s="1">
        <v>9.1899999999999996E-2</v>
      </c>
      <c r="I2725" s="1">
        <v>0.54569999999999996</v>
      </c>
      <c r="J2725" s="1">
        <v>0.48409999999999997</v>
      </c>
      <c r="K2725" s="1">
        <v>0.5413</v>
      </c>
    </row>
    <row r="2726" spans="1:11" x14ac:dyDescent="0.25">
      <c r="A2726" t="s">
        <v>198</v>
      </c>
      <c r="B2726" t="s">
        <v>228</v>
      </c>
      <c r="C2726">
        <v>65</v>
      </c>
      <c r="D2726" t="s">
        <v>200</v>
      </c>
      <c r="E2726">
        <v>1589</v>
      </c>
      <c r="F2726" s="1">
        <v>4.07E-2</v>
      </c>
      <c r="G2726" s="1">
        <v>5.0599999999999999E-2</v>
      </c>
      <c r="H2726" s="1">
        <v>0.1434</v>
      </c>
      <c r="I2726" s="1">
        <v>0.60319999999999996</v>
      </c>
      <c r="J2726" s="1">
        <v>0.56040000000000001</v>
      </c>
      <c r="K2726" s="1">
        <v>0.65259999999999996</v>
      </c>
    </row>
    <row r="2727" spans="1:11" x14ac:dyDescent="0.25">
      <c r="A2727" t="s">
        <v>198</v>
      </c>
      <c r="B2727" t="s">
        <v>228</v>
      </c>
      <c r="C2727">
        <v>67</v>
      </c>
      <c r="D2727" t="s">
        <v>201</v>
      </c>
      <c r="E2727">
        <v>1589</v>
      </c>
      <c r="F2727" s="1">
        <v>7.6600000000000001E-2</v>
      </c>
      <c r="G2727" s="1">
        <v>7.0199999999999999E-2</v>
      </c>
      <c r="H2727" s="1">
        <v>2.4199999999999999E-2</v>
      </c>
      <c r="I2727" s="1">
        <v>0.65339999999999998</v>
      </c>
      <c r="J2727" s="1">
        <v>0.34670000000000001</v>
      </c>
      <c r="K2727" s="1">
        <v>0.52359999999999995</v>
      </c>
    </row>
    <row r="2728" spans="1:11" x14ac:dyDescent="0.25">
      <c r="A2728" t="s">
        <v>198</v>
      </c>
      <c r="B2728" t="s">
        <v>229</v>
      </c>
      <c r="C2728">
        <v>118</v>
      </c>
      <c r="D2728" t="s">
        <v>201</v>
      </c>
      <c r="E2728">
        <v>1589</v>
      </c>
      <c r="F2728" s="1">
        <v>2.93E-2</v>
      </c>
      <c r="G2728" s="1">
        <v>7.4999999999999997E-3</v>
      </c>
      <c r="H2728" s="1">
        <v>0.17230000000000001</v>
      </c>
      <c r="I2728" s="1">
        <v>0.61909999999999998</v>
      </c>
      <c r="J2728" s="1">
        <v>0.48010000000000003</v>
      </c>
      <c r="K2728" s="1">
        <v>0.6421</v>
      </c>
    </row>
    <row r="2729" spans="1:11" x14ac:dyDescent="0.25">
      <c r="A2729" t="s">
        <v>198</v>
      </c>
      <c r="B2729" t="s">
        <v>229</v>
      </c>
      <c r="C2729">
        <v>43</v>
      </c>
      <c r="D2729" t="s">
        <v>202</v>
      </c>
      <c r="E2729">
        <v>1589</v>
      </c>
      <c r="F2729" s="1">
        <v>7.4899999999999994E-2</v>
      </c>
      <c r="H2729" s="1">
        <v>0.13880000000000001</v>
      </c>
      <c r="I2729" s="1">
        <v>0.6744</v>
      </c>
      <c r="J2729" s="1">
        <v>0.42309999999999998</v>
      </c>
      <c r="K2729" s="1">
        <v>0.66390000000000005</v>
      </c>
    </row>
    <row r="2730" spans="1:11" s="29" customFormat="1" x14ac:dyDescent="0.25">
      <c r="A2730" s="29" t="s">
        <v>198</v>
      </c>
      <c r="B2730" s="29" t="s">
        <v>228</v>
      </c>
      <c r="C2730" s="29">
        <v>19</v>
      </c>
      <c r="D2730" s="29" t="s">
        <v>202</v>
      </c>
      <c r="E2730" s="29">
        <v>1589</v>
      </c>
      <c r="F2730" s="30">
        <v>0.11700000000000001</v>
      </c>
      <c r="G2730" s="30">
        <v>0.1016</v>
      </c>
      <c r="I2730" s="30">
        <v>0.76749999999999996</v>
      </c>
      <c r="J2730" s="30">
        <v>0.49680000000000002</v>
      </c>
      <c r="K2730" s="30">
        <v>0.65</v>
      </c>
    </row>
    <row r="2731" spans="1:11" x14ac:dyDescent="0.25">
      <c r="A2731" t="s">
        <v>203</v>
      </c>
      <c r="B2731" t="s">
        <v>228</v>
      </c>
      <c r="C2731">
        <v>104</v>
      </c>
      <c r="D2731" t="s">
        <v>199</v>
      </c>
      <c r="E2731">
        <v>1589</v>
      </c>
      <c r="F2731" s="1">
        <v>6.1199999999999997E-2</v>
      </c>
      <c r="G2731" s="1">
        <v>2.81E-2</v>
      </c>
      <c r="H2731" s="1">
        <v>0.06</v>
      </c>
      <c r="I2731" s="1">
        <v>0.62119999999999997</v>
      </c>
      <c r="J2731" s="1">
        <v>0.78690000000000004</v>
      </c>
      <c r="K2731" s="1">
        <v>0.32529999999999998</v>
      </c>
    </row>
    <row r="2732" spans="1:11" x14ac:dyDescent="0.25">
      <c r="A2732" t="s">
        <v>203</v>
      </c>
      <c r="B2732" t="s">
        <v>229</v>
      </c>
      <c r="C2732">
        <v>219</v>
      </c>
      <c r="D2732" t="s">
        <v>199</v>
      </c>
      <c r="E2732">
        <v>1589</v>
      </c>
      <c r="F2732" s="1">
        <v>5.2600000000000001E-2</v>
      </c>
      <c r="G2732" s="1">
        <v>6.2399999999999997E-2</v>
      </c>
      <c r="H2732" s="1">
        <v>9.9000000000000005E-2</v>
      </c>
      <c r="I2732" s="1">
        <v>0.54430000000000001</v>
      </c>
      <c r="J2732" s="1">
        <v>0.51739999999999997</v>
      </c>
      <c r="K2732" s="1">
        <v>0.56259999999999999</v>
      </c>
    </row>
    <row r="2733" spans="1:11" x14ac:dyDescent="0.25">
      <c r="A2733" t="s">
        <v>203</v>
      </c>
      <c r="B2733" t="s">
        <v>229</v>
      </c>
      <c r="C2733">
        <v>160</v>
      </c>
      <c r="D2733" t="s">
        <v>200</v>
      </c>
      <c r="E2733">
        <v>1589</v>
      </c>
      <c r="F2733" s="1">
        <v>6.3E-3</v>
      </c>
      <c r="G2733" s="1">
        <v>5.6899999999999999E-2</v>
      </c>
      <c r="H2733" s="1">
        <v>0.1099</v>
      </c>
      <c r="I2733" s="1">
        <v>0.65129999999999999</v>
      </c>
      <c r="J2733" s="1">
        <v>0.50819999999999999</v>
      </c>
      <c r="K2733" s="1">
        <v>0.64249999999999996</v>
      </c>
    </row>
    <row r="2734" spans="1:11" x14ac:dyDescent="0.25">
      <c r="A2734" t="s">
        <v>203</v>
      </c>
      <c r="B2734" t="s">
        <v>228</v>
      </c>
      <c r="C2734">
        <v>64</v>
      </c>
      <c r="D2734" t="s">
        <v>200</v>
      </c>
      <c r="E2734">
        <v>1589</v>
      </c>
      <c r="G2734" s="1">
        <v>1.3100000000000001E-2</v>
      </c>
      <c r="H2734" s="1">
        <v>0.31569999999999998</v>
      </c>
      <c r="I2734" s="1">
        <v>0.78580000000000005</v>
      </c>
      <c r="J2734" s="1">
        <v>0.72670000000000001</v>
      </c>
      <c r="K2734" s="1">
        <v>0.49359999999999998</v>
      </c>
    </row>
    <row r="2735" spans="1:11" x14ac:dyDescent="0.25">
      <c r="A2735" t="s">
        <v>203</v>
      </c>
      <c r="B2735" t="s">
        <v>228</v>
      </c>
      <c r="C2735">
        <v>118</v>
      </c>
      <c r="D2735" t="s">
        <v>201</v>
      </c>
      <c r="E2735">
        <v>1589</v>
      </c>
      <c r="F2735" s="1">
        <v>5.0700000000000002E-2</v>
      </c>
      <c r="G2735" s="1">
        <v>0.19689999999999999</v>
      </c>
      <c r="H2735" s="1">
        <v>4.24E-2</v>
      </c>
      <c r="I2735" s="1">
        <v>0.58840000000000003</v>
      </c>
      <c r="J2735" s="1">
        <v>0.42699999999999999</v>
      </c>
      <c r="K2735" s="1">
        <v>0.46879999999999999</v>
      </c>
    </row>
    <row r="2736" spans="1:11" x14ac:dyDescent="0.25">
      <c r="A2736" t="s">
        <v>203</v>
      </c>
      <c r="B2736" t="s">
        <v>229</v>
      </c>
      <c r="C2736">
        <v>66</v>
      </c>
      <c r="D2736" t="s">
        <v>201</v>
      </c>
      <c r="E2736">
        <v>1589</v>
      </c>
      <c r="F2736" s="1">
        <v>9.9000000000000005E-2</v>
      </c>
      <c r="G2736" s="1">
        <v>0.1094</v>
      </c>
      <c r="H2736" s="1">
        <v>4.3999999999999997E-2</v>
      </c>
      <c r="I2736" s="1">
        <v>0.22600000000000001</v>
      </c>
      <c r="J2736" s="1">
        <v>0.4924</v>
      </c>
      <c r="K2736" s="1">
        <v>0.51459999999999995</v>
      </c>
    </row>
    <row r="2737" spans="1:11" s="29" customFormat="1" x14ac:dyDescent="0.25">
      <c r="A2737" s="29" t="s">
        <v>203</v>
      </c>
      <c r="B2737" s="29" t="s">
        <v>228</v>
      </c>
      <c r="C2737" s="29">
        <v>16</v>
      </c>
      <c r="D2737" s="29" t="s">
        <v>202</v>
      </c>
      <c r="E2737" s="29">
        <v>1589</v>
      </c>
      <c r="G2737" s="30">
        <v>3.7999999999999999E-2</v>
      </c>
      <c r="H2737" s="30">
        <v>0.1857</v>
      </c>
      <c r="I2737" s="30">
        <v>0.36320000000000002</v>
      </c>
      <c r="J2737" s="30">
        <v>0.72599999999999998</v>
      </c>
      <c r="K2737" s="30">
        <v>0.26469999999999999</v>
      </c>
    </row>
    <row r="2738" spans="1:11" s="29" customFormat="1" x14ac:dyDescent="0.25">
      <c r="A2738" s="29" t="s">
        <v>203</v>
      </c>
      <c r="B2738" s="29" t="s">
        <v>229</v>
      </c>
      <c r="C2738" s="29">
        <v>23</v>
      </c>
      <c r="D2738" s="29" t="s">
        <v>202</v>
      </c>
      <c r="E2738" s="29">
        <v>1589</v>
      </c>
      <c r="G2738" s="30">
        <v>2.1100000000000001E-2</v>
      </c>
      <c r="H2738" s="30">
        <v>6.2700000000000006E-2</v>
      </c>
      <c r="I2738" s="30">
        <v>0.37190000000000001</v>
      </c>
      <c r="J2738" s="30">
        <v>0.72460000000000002</v>
      </c>
      <c r="K2738" s="30">
        <v>0.45079999999999998</v>
      </c>
    </row>
    <row r="2739" spans="1:11" x14ac:dyDescent="0.25">
      <c r="A2739" t="s">
        <v>204</v>
      </c>
      <c r="B2739" t="s">
        <v>204</v>
      </c>
      <c r="C2739">
        <v>1589</v>
      </c>
      <c r="D2739" t="s">
        <v>204</v>
      </c>
      <c r="E2739">
        <v>1589</v>
      </c>
      <c r="F2739" s="1">
        <v>5.1299999999999998E-2</v>
      </c>
      <c r="G2739" s="1">
        <v>4.3700000000000003E-2</v>
      </c>
      <c r="H2739" s="1">
        <v>0.11700000000000001</v>
      </c>
      <c r="I2739" s="1">
        <v>0.59919999999999995</v>
      </c>
      <c r="J2739" s="1">
        <v>0.51839999999999997</v>
      </c>
      <c r="K2739" s="1">
        <v>0.57299999999999995</v>
      </c>
    </row>
    <row r="2741" spans="1:11" x14ac:dyDescent="0.25">
      <c r="A2741" t="s">
        <v>778</v>
      </c>
    </row>
    <row r="2742" spans="1:11" x14ac:dyDescent="0.25">
      <c r="A2742" t="s">
        <v>190</v>
      </c>
      <c r="B2742" t="s">
        <v>206</v>
      </c>
      <c r="C2742" t="s">
        <v>195</v>
      </c>
      <c r="D2742" t="s">
        <v>189</v>
      </c>
      <c r="E2742" t="s">
        <v>196</v>
      </c>
      <c r="F2742" t="s">
        <v>220</v>
      </c>
      <c r="G2742" t="s">
        <v>772</v>
      </c>
      <c r="H2742" t="s">
        <v>773</v>
      </c>
      <c r="I2742" t="s">
        <v>774</v>
      </c>
      <c r="J2742" t="s">
        <v>775</v>
      </c>
      <c r="K2742" t="s">
        <v>776</v>
      </c>
    </row>
    <row r="2743" spans="1:11" x14ac:dyDescent="0.25">
      <c r="A2743" t="s">
        <v>198</v>
      </c>
      <c r="B2743" t="s">
        <v>348</v>
      </c>
      <c r="C2743">
        <v>52</v>
      </c>
      <c r="D2743" t="s">
        <v>197</v>
      </c>
      <c r="E2743">
        <v>1589</v>
      </c>
      <c r="H2743" s="1">
        <v>3.3700000000000001E-2</v>
      </c>
      <c r="I2743" s="1">
        <v>0.64470000000000005</v>
      </c>
      <c r="J2743" s="1">
        <v>0.70609999999999995</v>
      </c>
      <c r="K2743" s="1">
        <v>0.4803</v>
      </c>
    </row>
    <row r="2744" spans="1:11" s="29" customFormat="1" x14ac:dyDescent="0.25">
      <c r="A2744" s="29" t="s">
        <v>198</v>
      </c>
      <c r="B2744" s="29" t="s">
        <v>349</v>
      </c>
      <c r="C2744" s="29">
        <v>2</v>
      </c>
      <c r="D2744" s="29" t="s">
        <v>197</v>
      </c>
      <c r="E2744" s="29">
        <v>1589</v>
      </c>
      <c r="H2744" s="30">
        <v>0.5</v>
      </c>
      <c r="I2744" s="30">
        <v>0.5</v>
      </c>
      <c r="J2744" s="30">
        <v>0.5</v>
      </c>
    </row>
    <row r="2745" spans="1:11" x14ac:dyDescent="0.25">
      <c r="A2745" t="s">
        <v>198</v>
      </c>
      <c r="B2745" t="s">
        <v>348</v>
      </c>
      <c r="C2745">
        <v>36</v>
      </c>
      <c r="D2745" t="s">
        <v>199</v>
      </c>
      <c r="E2745">
        <v>1589</v>
      </c>
      <c r="F2745" s="1">
        <v>0.32319999999999999</v>
      </c>
      <c r="G2745" s="1">
        <v>7.1999999999999998E-3</v>
      </c>
      <c r="H2745" s="1">
        <v>0.17369999999999999</v>
      </c>
      <c r="I2745" s="1">
        <v>0.2863</v>
      </c>
      <c r="J2745" s="1">
        <v>0.37280000000000002</v>
      </c>
      <c r="K2745" s="1">
        <v>0.32669999999999999</v>
      </c>
    </row>
    <row r="2746" spans="1:11" x14ac:dyDescent="0.25">
      <c r="A2746" t="s">
        <v>198</v>
      </c>
      <c r="B2746" t="s">
        <v>349</v>
      </c>
      <c r="C2746">
        <v>65</v>
      </c>
      <c r="D2746" t="s">
        <v>199</v>
      </c>
      <c r="E2746">
        <v>1589</v>
      </c>
      <c r="F2746" s="1">
        <v>9.2899999999999996E-2</v>
      </c>
      <c r="G2746" s="1">
        <v>7.3899999999999993E-2</v>
      </c>
      <c r="H2746" s="1">
        <v>0.12</v>
      </c>
      <c r="I2746" s="1">
        <v>0.65880000000000005</v>
      </c>
      <c r="J2746" s="1">
        <v>0.42459999999999998</v>
      </c>
      <c r="K2746" s="1">
        <v>0.65959999999999996</v>
      </c>
    </row>
    <row r="2747" spans="1:11" x14ac:dyDescent="0.25">
      <c r="A2747" t="s">
        <v>198</v>
      </c>
      <c r="B2747" t="s">
        <v>350</v>
      </c>
      <c r="C2747">
        <v>149</v>
      </c>
      <c r="D2747" t="s">
        <v>199</v>
      </c>
      <c r="E2747">
        <v>1589</v>
      </c>
      <c r="F2747" s="1">
        <v>5.3400000000000003E-2</v>
      </c>
      <c r="G2747" s="1">
        <v>1.6500000000000001E-2</v>
      </c>
      <c r="H2747" s="1">
        <v>0.20030000000000001</v>
      </c>
      <c r="I2747" s="1">
        <v>0.63270000000000004</v>
      </c>
      <c r="J2747" s="1">
        <v>0.43640000000000001</v>
      </c>
      <c r="K2747" s="1">
        <v>0.63470000000000004</v>
      </c>
    </row>
    <row r="2748" spans="1:11" x14ac:dyDescent="0.25">
      <c r="A2748" t="s">
        <v>198</v>
      </c>
      <c r="B2748" t="s">
        <v>350</v>
      </c>
      <c r="C2748">
        <v>51</v>
      </c>
      <c r="D2748" t="s">
        <v>200</v>
      </c>
      <c r="E2748">
        <v>1589</v>
      </c>
      <c r="F2748" s="1">
        <v>0.2099</v>
      </c>
      <c r="G2748" s="1">
        <v>4.3799999999999999E-2</v>
      </c>
      <c r="H2748" s="1">
        <v>0.19520000000000001</v>
      </c>
      <c r="I2748" s="1">
        <v>0.55910000000000004</v>
      </c>
      <c r="J2748" s="1">
        <v>0.45750000000000002</v>
      </c>
      <c r="K2748" s="1">
        <v>0.63729999999999998</v>
      </c>
    </row>
    <row r="2749" spans="1:11" x14ac:dyDescent="0.25">
      <c r="A2749" t="s">
        <v>198</v>
      </c>
      <c r="B2749" t="s">
        <v>348</v>
      </c>
      <c r="C2749">
        <v>150</v>
      </c>
      <c r="D2749" t="s">
        <v>200</v>
      </c>
      <c r="E2749">
        <v>1589</v>
      </c>
      <c r="F2749" s="1">
        <v>0.05</v>
      </c>
      <c r="G2749" s="1">
        <v>5.9299999999999999E-2</v>
      </c>
      <c r="H2749" s="1">
        <v>8.3400000000000002E-2</v>
      </c>
      <c r="I2749" s="1">
        <v>0.5474</v>
      </c>
      <c r="J2749" s="1">
        <v>0.502</v>
      </c>
      <c r="K2749" s="1">
        <v>0.54910000000000003</v>
      </c>
    </row>
    <row r="2750" spans="1:11" x14ac:dyDescent="0.25">
      <c r="A2750" t="s">
        <v>198</v>
      </c>
      <c r="B2750" t="s">
        <v>349</v>
      </c>
      <c r="C2750">
        <v>39</v>
      </c>
      <c r="D2750" t="s">
        <v>200</v>
      </c>
      <c r="E2750">
        <v>1589</v>
      </c>
      <c r="G2750" s="1">
        <v>0.13220000000000001</v>
      </c>
      <c r="H2750" s="1">
        <v>0.25600000000000001</v>
      </c>
      <c r="I2750" s="1">
        <v>0.70479999999999998</v>
      </c>
      <c r="J2750" s="1">
        <v>0.5242</v>
      </c>
      <c r="K2750" s="1">
        <v>0.68469999999999998</v>
      </c>
    </row>
    <row r="2751" spans="1:11" x14ac:dyDescent="0.25">
      <c r="A2751" t="s">
        <v>198</v>
      </c>
      <c r="B2751" t="s">
        <v>349</v>
      </c>
      <c r="C2751">
        <v>98</v>
      </c>
      <c r="D2751" t="s">
        <v>201</v>
      </c>
      <c r="E2751">
        <v>1589</v>
      </c>
      <c r="F2751" s="1">
        <v>5.9999999999999995E-4</v>
      </c>
      <c r="G2751" s="1">
        <v>6.1999999999999998E-3</v>
      </c>
      <c r="H2751" s="1">
        <v>0.1517</v>
      </c>
      <c r="I2751" s="1">
        <v>0.62770000000000004</v>
      </c>
      <c r="J2751" s="1">
        <v>0.4728</v>
      </c>
      <c r="K2751" s="1">
        <v>0.65090000000000003</v>
      </c>
    </row>
    <row r="2752" spans="1:11" x14ac:dyDescent="0.25">
      <c r="A2752" t="s">
        <v>198</v>
      </c>
      <c r="B2752" t="s">
        <v>350</v>
      </c>
      <c r="C2752">
        <v>47</v>
      </c>
      <c r="D2752" t="s">
        <v>201</v>
      </c>
      <c r="E2752">
        <v>1589</v>
      </c>
      <c r="F2752" s="1">
        <v>0.1459</v>
      </c>
      <c r="G2752" s="1">
        <v>7.9100000000000004E-2</v>
      </c>
      <c r="H2752" s="1">
        <v>5.7299999999999997E-2</v>
      </c>
      <c r="I2752" s="1">
        <v>0.52049999999999996</v>
      </c>
      <c r="J2752" s="1">
        <v>0.4148</v>
      </c>
      <c r="K2752" s="1">
        <v>0.4728</v>
      </c>
    </row>
    <row r="2753" spans="1:11" x14ac:dyDescent="0.25">
      <c r="A2753" t="s">
        <v>198</v>
      </c>
      <c r="B2753" t="s">
        <v>348</v>
      </c>
      <c r="C2753">
        <v>40</v>
      </c>
      <c r="D2753" t="s">
        <v>201</v>
      </c>
      <c r="E2753">
        <v>1589</v>
      </c>
      <c r="F2753" s="1">
        <v>0.13350000000000001</v>
      </c>
      <c r="G2753" s="1">
        <v>4.8000000000000001E-2</v>
      </c>
      <c r="H2753" s="1">
        <v>0.14019999999999999</v>
      </c>
      <c r="I2753" s="1">
        <v>0.63719999999999999</v>
      </c>
      <c r="J2753" s="1">
        <v>0.4098</v>
      </c>
      <c r="K2753" s="1">
        <v>0.5524</v>
      </c>
    </row>
    <row r="2754" spans="1:11" x14ac:dyDescent="0.25">
      <c r="A2754" t="s">
        <v>198</v>
      </c>
      <c r="B2754" t="s">
        <v>348</v>
      </c>
      <c r="C2754">
        <v>62</v>
      </c>
      <c r="D2754" t="s">
        <v>202</v>
      </c>
      <c r="E2754">
        <v>1589</v>
      </c>
      <c r="F2754" s="1">
        <v>8.5900000000000004E-2</v>
      </c>
      <c r="G2754" s="1">
        <v>2.6499999999999999E-2</v>
      </c>
      <c r="H2754" s="1">
        <v>0.1026</v>
      </c>
      <c r="I2754" s="1">
        <v>0.69869999999999999</v>
      </c>
      <c r="J2754" s="1">
        <v>0.44230000000000003</v>
      </c>
      <c r="K2754" s="1">
        <v>0.6603</v>
      </c>
    </row>
    <row r="2755" spans="1:11" x14ac:dyDescent="0.25">
      <c r="A2755" t="s">
        <v>203</v>
      </c>
      <c r="B2755" t="s">
        <v>349</v>
      </c>
      <c r="C2755">
        <v>99</v>
      </c>
      <c r="D2755" t="s">
        <v>199</v>
      </c>
      <c r="E2755">
        <v>1589</v>
      </c>
      <c r="F2755" s="1">
        <v>3.9600000000000003E-2</v>
      </c>
      <c r="G2755" s="1">
        <v>1.1599999999999999E-2</v>
      </c>
      <c r="H2755" s="1">
        <v>6.0100000000000001E-2</v>
      </c>
      <c r="I2755" s="1">
        <v>0.76049999999999995</v>
      </c>
      <c r="J2755" s="1">
        <v>0.65739999999999998</v>
      </c>
      <c r="K2755" s="1">
        <v>0.62609999999999999</v>
      </c>
    </row>
    <row r="2756" spans="1:11" s="29" customFormat="1" x14ac:dyDescent="0.25">
      <c r="A2756" s="29" t="s">
        <v>203</v>
      </c>
      <c r="B2756" s="29" t="s">
        <v>348</v>
      </c>
      <c r="C2756" s="29">
        <v>24</v>
      </c>
      <c r="D2756" s="29" t="s">
        <v>199</v>
      </c>
      <c r="E2756" s="29">
        <v>1589</v>
      </c>
      <c r="H2756" s="30">
        <v>9.6199999999999994E-2</v>
      </c>
      <c r="I2756" s="30">
        <v>0.8528</v>
      </c>
      <c r="J2756" s="30">
        <v>0.57669999999999999</v>
      </c>
      <c r="K2756" s="30">
        <v>0.76700000000000002</v>
      </c>
    </row>
    <row r="2757" spans="1:11" x14ac:dyDescent="0.25">
      <c r="A2757" t="s">
        <v>203</v>
      </c>
      <c r="B2757" t="s">
        <v>350</v>
      </c>
      <c r="C2757">
        <v>200</v>
      </c>
      <c r="D2757" t="s">
        <v>199</v>
      </c>
      <c r="E2757">
        <v>1589</v>
      </c>
      <c r="F2757" s="1">
        <v>6.2300000000000001E-2</v>
      </c>
      <c r="G2757" s="1">
        <v>7.9799999999999996E-2</v>
      </c>
      <c r="H2757" s="1">
        <v>0.1074</v>
      </c>
      <c r="I2757" s="1">
        <v>0.45600000000000002</v>
      </c>
      <c r="J2757" s="1">
        <v>0.50690000000000002</v>
      </c>
      <c r="K2757" s="1">
        <v>0.48430000000000001</v>
      </c>
    </row>
    <row r="2758" spans="1:11" x14ac:dyDescent="0.25">
      <c r="A2758" t="s">
        <v>203</v>
      </c>
      <c r="B2758" t="s">
        <v>348</v>
      </c>
      <c r="C2758">
        <v>97</v>
      </c>
      <c r="D2758" t="s">
        <v>200</v>
      </c>
      <c r="E2758">
        <v>1589</v>
      </c>
      <c r="G2758" s="1">
        <v>5.11E-2</v>
      </c>
      <c r="H2758" s="1">
        <v>0.155</v>
      </c>
      <c r="I2758" s="1">
        <v>0.68479999999999996</v>
      </c>
      <c r="J2758" s="1">
        <v>0.54379999999999995</v>
      </c>
      <c r="K2758" s="1">
        <v>0.61899999999999999</v>
      </c>
    </row>
    <row r="2759" spans="1:11" x14ac:dyDescent="0.25">
      <c r="A2759" t="s">
        <v>203</v>
      </c>
      <c r="B2759" t="s">
        <v>349</v>
      </c>
      <c r="C2759">
        <v>63</v>
      </c>
      <c r="D2759" t="s">
        <v>200</v>
      </c>
      <c r="E2759">
        <v>1589</v>
      </c>
      <c r="F2759" s="1">
        <v>2.5000000000000001E-3</v>
      </c>
      <c r="G2759" s="1">
        <v>2.8299999999999999E-2</v>
      </c>
      <c r="H2759" s="1">
        <v>7.7299999999999994E-2</v>
      </c>
      <c r="I2759" s="1">
        <v>0.68859999999999999</v>
      </c>
      <c r="J2759" s="1">
        <v>0.59709999999999996</v>
      </c>
      <c r="K2759" s="1">
        <v>0.58009999999999995</v>
      </c>
    </row>
    <row r="2760" spans="1:11" x14ac:dyDescent="0.25">
      <c r="A2760" t="s">
        <v>203</v>
      </c>
      <c r="B2760" t="s">
        <v>350</v>
      </c>
      <c r="C2760">
        <v>64</v>
      </c>
      <c r="D2760" t="s">
        <v>200</v>
      </c>
      <c r="E2760">
        <v>1589</v>
      </c>
      <c r="F2760" s="1">
        <v>6.2399999999999997E-2</v>
      </c>
      <c r="G2760" s="1">
        <v>5.1999999999999998E-2</v>
      </c>
      <c r="H2760" s="1">
        <v>0.29260000000000003</v>
      </c>
      <c r="I2760" s="1">
        <v>0.60680000000000001</v>
      </c>
      <c r="J2760" s="1">
        <v>0.57579999999999998</v>
      </c>
      <c r="K2760" s="1">
        <v>0.59209999999999996</v>
      </c>
    </row>
    <row r="2761" spans="1:11" x14ac:dyDescent="0.25">
      <c r="A2761" t="s">
        <v>203</v>
      </c>
      <c r="B2761" t="s">
        <v>348</v>
      </c>
      <c r="C2761">
        <v>32</v>
      </c>
      <c r="D2761" t="s">
        <v>201</v>
      </c>
      <c r="E2761">
        <v>1589</v>
      </c>
      <c r="F2761" s="1">
        <v>8.9700000000000002E-2</v>
      </c>
      <c r="H2761" s="1">
        <v>6.9800000000000001E-2</v>
      </c>
      <c r="I2761" s="1">
        <v>0.72019999999999995</v>
      </c>
      <c r="J2761" s="1">
        <v>0.45129999999999998</v>
      </c>
      <c r="K2761" s="1">
        <v>0.51880000000000004</v>
      </c>
    </row>
    <row r="2762" spans="1:11" x14ac:dyDescent="0.25">
      <c r="A2762" t="s">
        <v>203</v>
      </c>
      <c r="B2762" t="s">
        <v>349</v>
      </c>
      <c r="C2762">
        <v>75</v>
      </c>
      <c r="D2762" t="s">
        <v>201</v>
      </c>
      <c r="E2762">
        <v>1589</v>
      </c>
      <c r="F2762" s="1">
        <v>7.3700000000000002E-2</v>
      </c>
      <c r="G2762" s="1">
        <v>0.1726</v>
      </c>
      <c r="H2762" s="1">
        <v>3.1600000000000003E-2</v>
      </c>
      <c r="I2762" s="1">
        <v>0.25829999999999997</v>
      </c>
      <c r="J2762" s="1">
        <v>0.45650000000000002</v>
      </c>
      <c r="K2762" s="1">
        <v>0.52780000000000005</v>
      </c>
    </row>
    <row r="2763" spans="1:11" x14ac:dyDescent="0.25">
      <c r="A2763" t="s">
        <v>203</v>
      </c>
      <c r="B2763" t="s">
        <v>350</v>
      </c>
      <c r="C2763">
        <v>77</v>
      </c>
      <c r="D2763" t="s">
        <v>201</v>
      </c>
      <c r="E2763">
        <v>1589</v>
      </c>
      <c r="F2763" s="1">
        <v>0.1368</v>
      </c>
      <c r="G2763" s="1">
        <v>8.6099999999999996E-2</v>
      </c>
      <c r="H2763" s="1">
        <v>8.6099999999999996E-2</v>
      </c>
      <c r="I2763" s="1">
        <v>0.40949999999999998</v>
      </c>
      <c r="J2763" s="1">
        <v>0.58909999999999996</v>
      </c>
      <c r="K2763" s="1">
        <v>0.3014</v>
      </c>
    </row>
    <row r="2764" spans="1:11" x14ac:dyDescent="0.25">
      <c r="A2764" t="s">
        <v>203</v>
      </c>
      <c r="B2764" t="s">
        <v>348</v>
      </c>
      <c r="C2764">
        <v>39</v>
      </c>
      <c r="D2764" t="s">
        <v>202</v>
      </c>
      <c r="E2764">
        <v>1589</v>
      </c>
      <c r="G2764" s="1">
        <v>2.7199999999999998E-2</v>
      </c>
      <c r="H2764" s="1">
        <v>0.1067</v>
      </c>
      <c r="I2764" s="1">
        <v>0.36880000000000002</v>
      </c>
      <c r="J2764" s="1">
        <v>0.72509999999999997</v>
      </c>
      <c r="K2764" s="1">
        <v>0.38429999999999997</v>
      </c>
    </row>
    <row r="2765" spans="1:11" x14ac:dyDescent="0.25">
      <c r="A2765" t="s">
        <v>204</v>
      </c>
      <c r="B2765" t="s">
        <v>204</v>
      </c>
      <c r="C2765">
        <v>1589</v>
      </c>
      <c r="D2765" t="s">
        <v>204</v>
      </c>
      <c r="E2765">
        <v>1589</v>
      </c>
      <c r="F2765" s="1">
        <v>5.1299999999999998E-2</v>
      </c>
      <c r="G2765" s="1">
        <v>4.3700000000000003E-2</v>
      </c>
      <c r="H2765" s="1">
        <v>0.11700000000000001</v>
      </c>
      <c r="I2765" s="1">
        <v>0.59919999999999995</v>
      </c>
      <c r="J2765" s="1">
        <v>0.51839999999999997</v>
      </c>
      <c r="K2765" s="1">
        <v>0.57299999999999995</v>
      </c>
    </row>
    <row r="2767" spans="1:11" x14ac:dyDescent="0.25">
      <c r="A2767" t="s">
        <v>779</v>
      </c>
    </row>
    <row r="2768" spans="1:11" x14ac:dyDescent="0.25">
      <c r="A2768" t="s">
        <v>190</v>
      </c>
      <c r="B2768" t="s">
        <v>195</v>
      </c>
      <c r="C2768" t="s">
        <v>189</v>
      </c>
      <c r="D2768" t="s">
        <v>196</v>
      </c>
      <c r="E2768" t="s">
        <v>780</v>
      </c>
      <c r="F2768" t="s">
        <v>781</v>
      </c>
      <c r="G2768" t="s">
        <v>782</v>
      </c>
      <c r="H2768" t="s">
        <v>783</v>
      </c>
    </row>
    <row r="2769" spans="1:9" x14ac:dyDescent="0.25">
      <c r="A2769" t="s">
        <v>198</v>
      </c>
      <c r="B2769">
        <v>81</v>
      </c>
      <c r="C2769" t="s">
        <v>197</v>
      </c>
      <c r="D2769">
        <v>2621</v>
      </c>
      <c r="E2769" s="1">
        <v>0.39369999999999999</v>
      </c>
      <c r="F2769" s="1">
        <v>9.3600000000000003E-2</v>
      </c>
      <c r="G2769" s="1">
        <v>0.23319999999999999</v>
      </c>
      <c r="H2769" s="1">
        <v>0.27950000000000003</v>
      </c>
    </row>
    <row r="2770" spans="1:9" x14ac:dyDescent="0.25">
      <c r="A2770" t="s">
        <v>198</v>
      </c>
      <c r="B2770">
        <v>367</v>
      </c>
      <c r="C2770" t="s">
        <v>199</v>
      </c>
      <c r="D2770">
        <v>2621</v>
      </c>
      <c r="E2770" s="1">
        <v>0.30649999999999999</v>
      </c>
      <c r="F2770" s="1">
        <v>5.3400000000000003E-2</v>
      </c>
      <c r="G2770" s="1">
        <v>0.35830000000000001</v>
      </c>
      <c r="H2770" s="1">
        <v>0.28179999999999999</v>
      </c>
    </row>
    <row r="2771" spans="1:9" x14ac:dyDescent="0.25">
      <c r="A2771" t="s">
        <v>198</v>
      </c>
      <c r="B2771">
        <v>385</v>
      </c>
      <c r="C2771" t="s">
        <v>200</v>
      </c>
      <c r="D2771">
        <v>2621</v>
      </c>
      <c r="E2771" s="1">
        <v>0.32350000000000001</v>
      </c>
      <c r="F2771" s="1">
        <v>6.9699999999999998E-2</v>
      </c>
      <c r="G2771" s="1">
        <v>0.29799999999999999</v>
      </c>
      <c r="H2771" s="1">
        <v>0.30880000000000002</v>
      </c>
    </row>
    <row r="2772" spans="1:9" x14ac:dyDescent="0.25">
      <c r="A2772" t="s">
        <v>198</v>
      </c>
      <c r="B2772">
        <v>253</v>
      </c>
      <c r="C2772" t="s">
        <v>201</v>
      </c>
      <c r="D2772">
        <v>2621</v>
      </c>
      <c r="E2772" s="1">
        <v>0.43769999999999998</v>
      </c>
      <c r="F2772" s="1">
        <v>0.10639999999999999</v>
      </c>
      <c r="G2772" s="1">
        <v>0.1537</v>
      </c>
      <c r="H2772" s="1">
        <v>0.30209999999999998</v>
      </c>
    </row>
    <row r="2773" spans="1:9" x14ac:dyDescent="0.25">
      <c r="A2773" t="s">
        <v>198</v>
      </c>
      <c r="B2773">
        <v>96</v>
      </c>
      <c r="C2773" t="s">
        <v>202</v>
      </c>
      <c r="D2773">
        <v>2621</v>
      </c>
      <c r="E2773" s="1">
        <v>0.3604</v>
      </c>
      <c r="F2773" s="1">
        <v>8.2900000000000001E-2</v>
      </c>
      <c r="G2773" s="1">
        <v>0.24740000000000001</v>
      </c>
      <c r="H2773" s="1">
        <v>0.30930000000000002</v>
      </c>
    </row>
    <row r="2774" spans="1:9" x14ac:dyDescent="0.25">
      <c r="A2774" t="s">
        <v>203</v>
      </c>
      <c r="B2774">
        <v>528</v>
      </c>
      <c r="C2774" t="s">
        <v>199</v>
      </c>
      <c r="D2774">
        <v>2621</v>
      </c>
      <c r="E2774" s="1">
        <v>0.25580000000000003</v>
      </c>
      <c r="F2774" s="1">
        <v>2.5899999999999999E-2</v>
      </c>
      <c r="G2774" s="1">
        <v>0.44650000000000001</v>
      </c>
      <c r="H2774" s="1">
        <v>0.27179999999999999</v>
      </c>
    </row>
    <row r="2775" spans="1:9" x14ac:dyDescent="0.25">
      <c r="A2775" t="s">
        <v>203</v>
      </c>
      <c r="B2775">
        <v>501</v>
      </c>
      <c r="C2775" t="s">
        <v>200</v>
      </c>
      <c r="D2775">
        <v>2621</v>
      </c>
      <c r="E2775" s="1">
        <v>0.1067</v>
      </c>
      <c r="F2775" s="1">
        <v>2.29E-2</v>
      </c>
      <c r="G2775" s="1">
        <v>0.66420000000000001</v>
      </c>
      <c r="H2775" s="1">
        <v>0.20630000000000001</v>
      </c>
    </row>
    <row r="2776" spans="1:9" x14ac:dyDescent="0.25">
      <c r="A2776" t="s">
        <v>203</v>
      </c>
      <c r="B2776">
        <v>320</v>
      </c>
      <c r="C2776" t="s">
        <v>201</v>
      </c>
      <c r="D2776">
        <v>2621</v>
      </c>
      <c r="E2776" s="1">
        <v>0.1918</v>
      </c>
      <c r="F2776" s="1">
        <v>4.1599999999999998E-2</v>
      </c>
      <c r="G2776" s="1">
        <v>0.5292</v>
      </c>
      <c r="H2776" s="1">
        <v>0.23730000000000001</v>
      </c>
    </row>
    <row r="2777" spans="1:9" x14ac:dyDescent="0.25">
      <c r="A2777" t="s">
        <v>203</v>
      </c>
      <c r="B2777">
        <v>90</v>
      </c>
      <c r="C2777" t="s">
        <v>202</v>
      </c>
      <c r="D2777">
        <v>2621</v>
      </c>
      <c r="E2777" s="1">
        <v>0.1522</v>
      </c>
      <c r="F2777" s="1">
        <v>6.3799999999999996E-2</v>
      </c>
      <c r="G2777" s="1">
        <v>0.63170000000000004</v>
      </c>
      <c r="H2777" s="1">
        <v>0.1522</v>
      </c>
    </row>
    <row r="2778" spans="1:9" x14ac:dyDescent="0.25">
      <c r="A2778" t="s">
        <v>204</v>
      </c>
      <c r="B2778">
        <v>2621</v>
      </c>
      <c r="C2778" t="s">
        <v>204</v>
      </c>
      <c r="D2778">
        <v>2621</v>
      </c>
      <c r="E2778" s="1">
        <v>0.2437</v>
      </c>
      <c r="F2778" s="1">
        <v>5.0299999999999997E-2</v>
      </c>
      <c r="G2778" s="1">
        <v>0.45090000000000002</v>
      </c>
      <c r="H2778" s="1">
        <v>0.25519999999999998</v>
      </c>
    </row>
    <row r="2780" spans="1:9" x14ac:dyDescent="0.25">
      <c r="A2780" t="s">
        <v>784</v>
      </c>
    </row>
    <row r="2781" spans="1:9" x14ac:dyDescent="0.25">
      <c r="A2781" t="s">
        <v>190</v>
      </c>
      <c r="B2781" t="s">
        <v>206</v>
      </c>
      <c r="C2781" t="s">
        <v>195</v>
      </c>
      <c r="D2781" t="s">
        <v>189</v>
      </c>
      <c r="E2781" t="s">
        <v>196</v>
      </c>
      <c r="F2781" t="s">
        <v>780</v>
      </c>
      <c r="G2781" t="s">
        <v>781</v>
      </c>
      <c r="H2781" t="s">
        <v>782</v>
      </c>
      <c r="I2781" t="s">
        <v>783</v>
      </c>
    </row>
    <row r="2782" spans="1:9" x14ac:dyDescent="0.25">
      <c r="A2782" t="s">
        <v>198</v>
      </c>
      <c r="B2782" t="s">
        <v>228</v>
      </c>
      <c r="C2782">
        <v>32</v>
      </c>
      <c r="D2782" t="s">
        <v>197</v>
      </c>
      <c r="E2782">
        <v>2621</v>
      </c>
      <c r="F2782" s="1">
        <v>0.4284</v>
      </c>
      <c r="G2782" s="1">
        <v>7.7499999999999999E-2</v>
      </c>
      <c r="H2782" s="1">
        <v>0.25979999999999998</v>
      </c>
      <c r="I2782" s="1">
        <v>0.23430000000000001</v>
      </c>
    </row>
    <row r="2783" spans="1:9" x14ac:dyDescent="0.25">
      <c r="A2783" t="s">
        <v>198</v>
      </c>
      <c r="B2783" t="s">
        <v>229</v>
      </c>
      <c r="C2783">
        <v>49</v>
      </c>
      <c r="D2783" t="s">
        <v>197</v>
      </c>
      <c r="E2783">
        <v>2621</v>
      </c>
      <c r="F2783" s="1">
        <v>0.36849999999999999</v>
      </c>
      <c r="G2783" s="1">
        <v>0.1052</v>
      </c>
      <c r="H2783" s="1">
        <v>0.214</v>
      </c>
      <c r="I2783" s="1">
        <v>0.31219999999999998</v>
      </c>
    </row>
    <row r="2784" spans="1:9" x14ac:dyDescent="0.25">
      <c r="A2784" t="s">
        <v>198</v>
      </c>
      <c r="B2784" t="s">
        <v>228</v>
      </c>
      <c r="C2784">
        <v>145</v>
      </c>
      <c r="D2784" t="s">
        <v>199</v>
      </c>
      <c r="E2784">
        <v>2621</v>
      </c>
      <c r="F2784" s="1">
        <v>0.35270000000000001</v>
      </c>
      <c r="G2784" s="1">
        <v>5.4600000000000003E-2</v>
      </c>
      <c r="H2784" s="1">
        <v>0.2606</v>
      </c>
      <c r="I2784" s="1">
        <v>0.33210000000000001</v>
      </c>
    </row>
    <row r="2785" spans="1:9" x14ac:dyDescent="0.25">
      <c r="A2785" t="s">
        <v>198</v>
      </c>
      <c r="B2785" t="s">
        <v>229</v>
      </c>
      <c r="C2785">
        <v>212</v>
      </c>
      <c r="D2785" t="s">
        <v>199</v>
      </c>
      <c r="E2785">
        <v>2621</v>
      </c>
      <c r="F2785" s="1">
        <v>0.28610000000000002</v>
      </c>
      <c r="G2785" s="1">
        <v>5.3499999999999999E-2</v>
      </c>
      <c r="H2785" s="1">
        <v>0.39439999999999997</v>
      </c>
      <c r="I2785" s="1">
        <v>0.26590000000000003</v>
      </c>
    </row>
    <row r="2786" spans="1:9" x14ac:dyDescent="0.25">
      <c r="A2786" t="s">
        <v>198</v>
      </c>
      <c r="B2786" t="s">
        <v>229</v>
      </c>
      <c r="C2786">
        <v>269</v>
      </c>
      <c r="D2786" t="s">
        <v>200</v>
      </c>
      <c r="E2786">
        <v>2621</v>
      </c>
      <c r="F2786" s="1">
        <v>0.37080000000000002</v>
      </c>
      <c r="G2786" s="1">
        <v>5.6800000000000003E-2</v>
      </c>
      <c r="H2786" s="1">
        <v>0.27410000000000001</v>
      </c>
      <c r="I2786" s="1">
        <v>0.29830000000000001</v>
      </c>
    </row>
    <row r="2787" spans="1:9" x14ac:dyDescent="0.25">
      <c r="A2787" t="s">
        <v>198</v>
      </c>
      <c r="B2787" t="s">
        <v>228</v>
      </c>
      <c r="C2787">
        <v>111</v>
      </c>
      <c r="D2787" t="s">
        <v>200</v>
      </c>
      <c r="E2787">
        <v>2621</v>
      </c>
      <c r="F2787" s="1">
        <v>0.1681</v>
      </c>
      <c r="G2787" s="1">
        <v>9.4399999999999998E-2</v>
      </c>
      <c r="H2787" s="1">
        <v>0.3861</v>
      </c>
      <c r="I2787" s="1">
        <v>0.35139999999999999</v>
      </c>
    </row>
    <row r="2788" spans="1:9" x14ac:dyDescent="0.25">
      <c r="A2788" t="s">
        <v>198</v>
      </c>
      <c r="B2788" t="s">
        <v>228</v>
      </c>
      <c r="C2788">
        <v>94</v>
      </c>
      <c r="D2788" t="s">
        <v>201</v>
      </c>
      <c r="E2788">
        <v>2621</v>
      </c>
      <c r="F2788" s="1">
        <v>0.3488</v>
      </c>
      <c r="G2788" s="1">
        <v>9.6799999999999997E-2</v>
      </c>
      <c r="H2788" s="1">
        <v>0.2384</v>
      </c>
      <c r="I2788" s="1">
        <v>0.31609999999999999</v>
      </c>
    </row>
    <row r="2789" spans="1:9" x14ac:dyDescent="0.25">
      <c r="A2789" t="s">
        <v>198</v>
      </c>
      <c r="B2789" t="s">
        <v>229</v>
      </c>
      <c r="C2789">
        <v>153</v>
      </c>
      <c r="D2789" t="s">
        <v>201</v>
      </c>
      <c r="E2789">
        <v>2621</v>
      </c>
      <c r="F2789" s="1">
        <v>0.46229999999999999</v>
      </c>
      <c r="G2789" s="1">
        <v>0.1105</v>
      </c>
      <c r="H2789" s="1">
        <v>0.13220000000000001</v>
      </c>
      <c r="I2789" s="1">
        <v>0.2949</v>
      </c>
    </row>
    <row r="2790" spans="1:9" s="29" customFormat="1" x14ac:dyDescent="0.25">
      <c r="A2790" s="29" t="s">
        <v>198</v>
      </c>
      <c r="B2790" s="29" t="s">
        <v>228</v>
      </c>
      <c r="C2790" s="29">
        <v>28</v>
      </c>
      <c r="D2790" s="29" t="s">
        <v>202</v>
      </c>
      <c r="E2790" s="29">
        <v>2621</v>
      </c>
      <c r="F2790" s="30">
        <v>0.47049999999999997</v>
      </c>
      <c r="G2790" s="30">
        <v>0.14360000000000001</v>
      </c>
      <c r="H2790" s="30">
        <v>0.21129999999999999</v>
      </c>
      <c r="I2790" s="30">
        <v>0.17460000000000001</v>
      </c>
    </row>
    <row r="2791" spans="1:9" x14ac:dyDescent="0.25">
      <c r="A2791" t="s">
        <v>198</v>
      </c>
      <c r="B2791" t="s">
        <v>229</v>
      </c>
      <c r="C2791">
        <v>68</v>
      </c>
      <c r="D2791" t="s">
        <v>202</v>
      </c>
      <c r="E2791">
        <v>2621</v>
      </c>
      <c r="F2791" s="1">
        <v>0.32629999999999998</v>
      </c>
      <c r="G2791" s="1">
        <v>6.4100000000000004E-2</v>
      </c>
      <c r="H2791" s="1">
        <v>0.2586</v>
      </c>
      <c r="I2791" s="1">
        <v>0.35099999999999998</v>
      </c>
    </row>
    <row r="2792" spans="1:9" x14ac:dyDescent="0.25">
      <c r="A2792" t="s">
        <v>203</v>
      </c>
      <c r="B2792" t="s">
        <v>229</v>
      </c>
      <c r="C2792">
        <v>369</v>
      </c>
      <c r="D2792" t="s">
        <v>199</v>
      </c>
      <c r="E2792">
        <v>2621</v>
      </c>
      <c r="F2792" s="1">
        <v>0.24790000000000001</v>
      </c>
      <c r="G2792" s="1">
        <v>2.0199999999999999E-2</v>
      </c>
      <c r="H2792" s="1">
        <v>0.45269999999999999</v>
      </c>
      <c r="I2792" s="1">
        <v>0.27910000000000001</v>
      </c>
    </row>
    <row r="2793" spans="1:9" x14ac:dyDescent="0.25">
      <c r="A2793" t="s">
        <v>203</v>
      </c>
      <c r="B2793" t="s">
        <v>228</v>
      </c>
      <c r="C2793">
        <v>149</v>
      </c>
      <c r="D2793" t="s">
        <v>199</v>
      </c>
      <c r="E2793">
        <v>2621</v>
      </c>
      <c r="F2793" s="1">
        <v>0.31669999999999998</v>
      </c>
      <c r="G2793" s="1">
        <v>7.5499999999999998E-2</v>
      </c>
      <c r="H2793" s="1">
        <v>0.40250000000000002</v>
      </c>
      <c r="I2793" s="1">
        <v>0.20530000000000001</v>
      </c>
    </row>
    <row r="2794" spans="1:9" x14ac:dyDescent="0.25">
      <c r="A2794" t="s">
        <v>203</v>
      </c>
      <c r="B2794" t="s">
        <v>229</v>
      </c>
      <c r="C2794">
        <v>345</v>
      </c>
      <c r="D2794" t="s">
        <v>200</v>
      </c>
      <c r="E2794">
        <v>2621</v>
      </c>
      <c r="F2794" s="1">
        <v>9.7100000000000006E-2</v>
      </c>
      <c r="G2794" s="1">
        <v>2.0299999999999999E-2</v>
      </c>
      <c r="H2794" s="1">
        <v>0.66820000000000002</v>
      </c>
      <c r="I2794" s="1">
        <v>0.21440000000000001</v>
      </c>
    </row>
    <row r="2795" spans="1:9" x14ac:dyDescent="0.25">
      <c r="A2795" t="s">
        <v>203</v>
      </c>
      <c r="B2795" t="s">
        <v>228</v>
      </c>
      <c r="C2795">
        <v>155</v>
      </c>
      <c r="D2795" t="s">
        <v>200</v>
      </c>
      <c r="E2795">
        <v>2621</v>
      </c>
      <c r="F2795" s="1">
        <v>0.14599999999999999</v>
      </c>
      <c r="G2795" s="1">
        <v>3.3700000000000001E-2</v>
      </c>
      <c r="H2795" s="1">
        <v>0.64729999999999999</v>
      </c>
      <c r="I2795" s="1">
        <v>0.17299999999999999</v>
      </c>
    </row>
    <row r="2796" spans="1:9" x14ac:dyDescent="0.25">
      <c r="A2796" t="s">
        <v>203</v>
      </c>
      <c r="B2796" t="s">
        <v>229</v>
      </c>
      <c r="C2796">
        <v>137</v>
      </c>
      <c r="D2796" t="s">
        <v>201</v>
      </c>
      <c r="E2796">
        <v>2621</v>
      </c>
      <c r="F2796" s="1">
        <v>0.1668</v>
      </c>
      <c r="G2796" s="1">
        <v>4.3200000000000002E-2</v>
      </c>
      <c r="H2796" s="1">
        <v>0.57479999999999998</v>
      </c>
      <c r="I2796" s="1">
        <v>0.2152</v>
      </c>
    </row>
    <row r="2797" spans="1:9" x14ac:dyDescent="0.25">
      <c r="A2797" t="s">
        <v>203</v>
      </c>
      <c r="B2797" t="s">
        <v>228</v>
      </c>
      <c r="C2797">
        <v>176</v>
      </c>
      <c r="D2797" t="s">
        <v>201</v>
      </c>
      <c r="E2797">
        <v>2621</v>
      </c>
      <c r="F2797" s="1">
        <v>0.27100000000000002</v>
      </c>
      <c r="G2797" s="1">
        <v>3.6999999999999998E-2</v>
      </c>
      <c r="H2797" s="1">
        <v>0.3886</v>
      </c>
      <c r="I2797" s="1">
        <v>0.30349999999999999</v>
      </c>
    </row>
    <row r="2798" spans="1:9" x14ac:dyDescent="0.25">
      <c r="A2798" t="s">
        <v>203</v>
      </c>
      <c r="B2798" t="s">
        <v>228</v>
      </c>
      <c r="C2798">
        <v>34</v>
      </c>
      <c r="D2798" t="s">
        <v>202</v>
      </c>
      <c r="E2798">
        <v>2621</v>
      </c>
      <c r="F2798" s="1">
        <v>0.1096</v>
      </c>
      <c r="G2798" s="1">
        <v>4.3900000000000002E-2</v>
      </c>
      <c r="H2798" s="1">
        <v>0.53920000000000001</v>
      </c>
      <c r="I2798" s="1">
        <v>0.30740000000000001</v>
      </c>
    </row>
    <row r="2799" spans="1:9" x14ac:dyDescent="0.25">
      <c r="A2799" t="s">
        <v>203</v>
      </c>
      <c r="B2799" t="s">
        <v>229</v>
      </c>
      <c r="C2799">
        <v>56</v>
      </c>
      <c r="D2799" t="s">
        <v>202</v>
      </c>
      <c r="E2799">
        <v>2621</v>
      </c>
      <c r="F2799" s="1">
        <v>0.16900000000000001</v>
      </c>
      <c r="G2799" s="1">
        <v>7.17E-2</v>
      </c>
      <c r="H2799" s="1">
        <v>0.66820000000000002</v>
      </c>
      <c r="I2799" s="1">
        <v>9.11E-2</v>
      </c>
    </row>
    <row r="2800" spans="1:9" x14ac:dyDescent="0.25">
      <c r="A2800" t="s">
        <v>204</v>
      </c>
      <c r="B2800" t="s">
        <v>204</v>
      </c>
      <c r="C2800">
        <v>2621</v>
      </c>
      <c r="D2800" t="s">
        <v>204</v>
      </c>
      <c r="E2800">
        <v>2621</v>
      </c>
      <c r="F2800" s="1">
        <v>0.2437</v>
      </c>
      <c r="G2800" s="1">
        <v>5.0299999999999997E-2</v>
      </c>
      <c r="H2800" s="1">
        <v>0.45090000000000002</v>
      </c>
      <c r="I2800" s="1">
        <v>0.25519999999999998</v>
      </c>
    </row>
    <row r="2802" spans="1:9" x14ac:dyDescent="0.25">
      <c r="A2802" t="s">
        <v>785</v>
      </c>
    </row>
    <row r="2803" spans="1:9" x14ac:dyDescent="0.25">
      <c r="A2803" t="s">
        <v>190</v>
      </c>
      <c r="B2803" t="s">
        <v>206</v>
      </c>
      <c r="C2803" t="s">
        <v>195</v>
      </c>
      <c r="D2803" t="s">
        <v>189</v>
      </c>
      <c r="E2803" t="s">
        <v>196</v>
      </c>
      <c r="F2803" t="s">
        <v>780</v>
      </c>
      <c r="G2803" t="s">
        <v>781</v>
      </c>
      <c r="H2803" t="s">
        <v>782</v>
      </c>
      <c r="I2803" t="s">
        <v>783</v>
      </c>
    </row>
    <row r="2804" spans="1:9" x14ac:dyDescent="0.25">
      <c r="A2804" t="s">
        <v>198</v>
      </c>
      <c r="B2804" t="s">
        <v>348</v>
      </c>
      <c r="C2804">
        <v>78</v>
      </c>
      <c r="D2804" t="s">
        <v>197</v>
      </c>
      <c r="E2804">
        <v>2621</v>
      </c>
      <c r="F2804" s="1">
        <v>0.3841</v>
      </c>
      <c r="G2804" s="1">
        <v>9.6799999999999997E-2</v>
      </c>
      <c r="H2804" s="1">
        <v>0.2414</v>
      </c>
      <c r="I2804" s="1">
        <v>0.2777</v>
      </c>
    </row>
    <row r="2805" spans="1:9" s="29" customFormat="1" x14ac:dyDescent="0.25">
      <c r="A2805" s="29" t="s">
        <v>198</v>
      </c>
      <c r="B2805" s="29" t="s">
        <v>349</v>
      </c>
      <c r="C2805" s="29">
        <v>3</v>
      </c>
      <c r="D2805" s="29" t="s">
        <v>197</v>
      </c>
      <c r="E2805" s="29">
        <v>2621</v>
      </c>
      <c r="F2805" s="30">
        <v>0.66669999999999996</v>
      </c>
      <c r="I2805" s="30">
        <v>0.33329999999999999</v>
      </c>
    </row>
    <row r="2806" spans="1:9" x14ac:dyDescent="0.25">
      <c r="A2806" t="s">
        <v>198</v>
      </c>
      <c r="B2806" t="s">
        <v>348</v>
      </c>
      <c r="C2806">
        <v>54</v>
      </c>
      <c r="D2806" t="s">
        <v>199</v>
      </c>
      <c r="E2806">
        <v>2621</v>
      </c>
      <c r="F2806" s="1">
        <v>0.25230000000000002</v>
      </c>
      <c r="G2806" s="1">
        <v>2.1700000000000001E-2</v>
      </c>
      <c r="H2806" s="1">
        <v>0.46920000000000001</v>
      </c>
      <c r="I2806" s="1">
        <v>0.25679999999999997</v>
      </c>
    </row>
    <row r="2807" spans="1:9" x14ac:dyDescent="0.25">
      <c r="A2807" t="s">
        <v>198</v>
      </c>
      <c r="B2807" t="s">
        <v>349</v>
      </c>
      <c r="C2807">
        <v>111</v>
      </c>
      <c r="D2807" t="s">
        <v>199</v>
      </c>
      <c r="E2807">
        <v>2621</v>
      </c>
      <c r="F2807" s="1">
        <v>0.24590000000000001</v>
      </c>
      <c r="G2807" s="1">
        <v>7.4300000000000005E-2</v>
      </c>
      <c r="H2807" s="1">
        <v>0.45200000000000001</v>
      </c>
      <c r="I2807" s="1">
        <v>0.22770000000000001</v>
      </c>
    </row>
    <row r="2808" spans="1:9" x14ac:dyDescent="0.25">
      <c r="A2808" t="s">
        <v>198</v>
      </c>
      <c r="B2808" t="s">
        <v>350</v>
      </c>
      <c r="C2808">
        <v>192</v>
      </c>
      <c r="D2808" t="s">
        <v>199</v>
      </c>
      <c r="E2808">
        <v>2621</v>
      </c>
      <c r="F2808" s="1">
        <v>0.38490000000000002</v>
      </c>
      <c r="G2808" s="1">
        <v>4.19E-2</v>
      </c>
      <c r="H2808" s="1">
        <v>0.2195</v>
      </c>
      <c r="I2808" s="1">
        <v>0.35370000000000001</v>
      </c>
    </row>
    <row r="2809" spans="1:9" x14ac:dyDescent="0.25">
      <c r="A2809" t="s">
        <v>198</v>
      </c>
      <c r="B2809" t="s">
        <v>350</v>
      </c>
      <c r="C2809">
        <v>78</v>
      </c>
      <c r="D2809" t="s">
        <v>200</v>
      </c>
      <c r="E2809">
        <v>2621</v>
      </c>
      <c r="F2809" s="1">
        <v>0.41970000000000002</v>
      </c>
      <c r="G2809" s="1">
        <v>0.1023</v>
      </c>
      <c r="H2809" s="1">
        <v>0.189</v>
      </c>
      <c r="I2809" s="1">
        <v>0.28899999999999998</v>
      </c>
    </row>
    <row r="2810" spans="1:9" x14ac:dyDescent="0.25">
      <c r="A2810" t="s">
        <v>198</v>
      </c>
      <c r="B2810" t="s">
        <v>348</v>
      </c>
      <c r="C2810">
        <v>240</v>
      </c>
      <c r="D2810" t="s">
        <v>200</v>
      </c>
      <c r="E2810">
        <v>2621</v>
      </c>
      <c r="F2810" s="1">
        <v>0.32040000000000002</v>
      </c>
      <c r="G2810" s="1">
        <v>6.1899999999999997E-2</v>
      </c>
      <c r="H2810" s="1">
        <v>0.31040000000000001</v>
      </c>
      <c r="I2810" s="1">
        <v>0.30730000000000002</v>
      </c>
    </row>
    <row r="2811" spans="1:9" x14ac:dyDescent="0.25">
      <c r="A2811" t="s">
        <v>198</v>
      </c>
      <c r="B2811" t="s">
        <v>349</v>
      </c>
      <c r="C2811">
        <v>62</v>
      </c>
      <c r="D2811" t="s">
        <v>200</v>
      </c>
      <c r="E2811">
        <v>2621</v>
      </c>
      <c r="F2811" s="1">
        <v>0.25309999999999999</v>
      </c>
      <c r="G2811" s="1">
        <v>7.5899999999999995E-2</v>
      </c>
      <c r="H2811" s="1">
        <v>0.28299999999999997</v>
      </c>
      <c r="I2811" s="1">
        <v>0.38790000000000002</v>
      </c>
    </row>
    <row r="2812" spans="1:9" x14ac:dyDescent="0.25">
      <c r="A2812" t="s">
        <v>198</v>
      </c>
      <c r="B2812" t="s">
        <v>349</v>
      </c>
      <c r="C2812">
        <v>123</v>
      </c>
      <c r="D2812" t="s">
        <v>201</v>
      </c>
      <c r="E2812">
        <v>2621</v>
      </c>
      <c r="F2812" s="1">
        <v>0.47570000000000001</v>
      </c>
      <c r="G2812" s="1">
        <v>0.1158</v>
      </c>
      <c r="H2812" s="1">
        <v>0.1201</v>
      </c>
      <c r="I2812" s="1">
        <v>0.2883</v>
      </c>
    </row>
    <row r="2813" spans="1:9" x14ac:dyDescent="0.25">
      <c r="A2813" t="s">
        <v>198</v>
      </c>
      <c r="B2813" t="s">
        <v>350</v>
      </c>
      <c r="C2813">
        <v>63</v>
      </c>
      <c r="D2813" t="s">
        <v>201</v>
      </c>
      <c r="E2813">
        <v>2621</v>
      </c>
      <c r="F2813" s="1">
        <v>0.38490000000000002</v>
      </c>
      <c r="G2813" s="1">
        <v>0.21099999999999999</v>
      </c>
      <c r="H2813" s="1">
        <v>0.23150000000000001</v>
      </c>
      <c r="I2813" s="1">
        <v>0.1726</v>
      </c>
    </row>
    <row r="2814" spans="1:9" x14ac:dyDescent="0.25">
      <c r="A2814" t="s">
        <v>198</v>
      </c>
      <c r="B2814" t="s">
        <v>348</v>
      </c>
      <c r="C2814">
        <v>61</v>
      </c>
      <c r="D2814" t="s">
        <v>201</v>
      </c>
      <c r="E2814">
        <v>2621</v>
      </c>
      <c r="F2814" s="1">
        <v>0.3468</v>
      </c>
      <c r="G2814" s="1">
        <v>6.7199999999999996E-2</v>
      </c>
      <c r="H2814" s="1">
        <v>0.23419999999999999</v>
      </c>
      <c r="I2814" s="1">
        <v>0.3518</v>
      </c>
    </row>
    <row r="2815" spans="1:9" x14ac:dyDescent="0.25">
      <c r="A2815" t="s">
        <v>198</v>
      </c>
      <c r="B2815" t="s">
        <v>348</v>
      </c>
      <c r="C2815">
        <v>96</v>
      </c>
      <c r="D2815" t="s">
        <v>202</v>
      </c>
      <c r="E2815">
        <v>2621</v>
      </c>
      <c r="F2815" s="1">
        <v>0.3604</v>
      </c>
      <c r="G2815" s="1">
        <v>8.2900000000000001E-2</v>
      </c>
      <c r="H2815" s="1">
        <v>0.24740000000000001</v>
      </c>
      <c r="I2815" s="1">
        <v>0.30930000000000002</v>
      </c>
    </row>
    <row r="2816" spans="1:9" x14ac:dyDescent="0.25">
      <c r="A2816" t="s">
        <v>203</v>
      </c>
      <c r="B2816" t="s">
        <v>349</v>
      </c>
      <c r="C2816">
        <v>171</v>
      </c>
      <c r="D2816" t="s">
        <v>199</v>
      </c>
      <c r="E2816">
        <v>2621</v>
      </c>
      <c r="F2816" s="1">
        <v>0.15590000000000001</v>
      </c>
      <c r="G2816" s="1">
        <v>2.2599999999999999E-2</v>
      </c>
      <c r="H2816" s="1">
        <v>0.54159999999999997</v>
      </c>
      <c r="I2816" s="1">
        <v>0.27989999999999998</v>
      </c>
    </row>
    <row r="2817" spans="1:23" x14ac:dyDescent="0.25">
      <c r="A2817" t="s">
        <v>203</v>
      </c>
      <c r="B2817" t="s">
        <v>348</v>
      </c>
      <c r="C2817">
        <v>42</v>
      </c>
      <c r="D2817" t="s">
        <v>199</v>
      </c>
      <c r="E2817">
        <v>2621</v>
      </c>
      <c r="F2817" s="1">
        <v>0.29399999999999998</v>
      </c>
      <c r="G2817" s="1">
        <v>5.1000000000000004E-3</v>
      </c>
      <c r="H2817" s="1">
        <v>0.504</v>
      </c>
      <c r="I2817" s="1">
        <v>0.19689999999999999</v>
      </c>
    </row>
    <row r="2818" spans="1:23" x14ac:dyDescent="0.25">
      <c r="A2818" t="s">
        <v>203</v>
      </c>
      <c r="B2818" t="s">
        <v>350</v>
      </c>
      <c r="C2818">
        <v>305</v>
      </c>
      <c r="D2818" t="s">
        <v>199</v>
      </c>
      <c r="E2818">
        <v>2621</v>
      </c>
      <c r="F2818" s="1">
        <v>0.30359999999999998</v>
      </c>
      <c r="G2818" s="1">
        <v>2.92E-2</v>
      </c>
      <c r="H2818" s="1">
        <v>0.39539999999999997</v>
      </c>
      <c r="I2818" s="1">
        <v>0.27189999999999998</v>
      </c>
    </row>
    <row r="2819" spans="1:23" x14ac:dyDescent="0.25">
      <c r="A2819" t="s">
        <v>203</v>
      </c>
      <c r="B2819" t="s">
        <v>348</v>
      </c>
      <c r="C2819">
        <v>299</v>
      </c>
      <c r="D2819" t="s">
        <v>200</v>
      </c>
      <c r="E2819">
        <v>2621</v>
      </c>
      <c r="F2819" s="1">
        <v>9.1600000000000001E-2</v>
      </c>
      <c r="G2819" s="1">
        <v>2.2100000000000002E-2</v>
      </c>
      <c r="H2819" s="1">
        <v>0.69940000000000002</v>
      </c>
      <c r="I2819" s="1">
        <v>0.18690000000000001</v>
      </c>
    </row>
    <row r="2820" spans="1:23" x14ac:dyDescent="0.25">
      <c r="A2820" t="s">
        <v>203</v>
      </c>
      <c r="B2820" t="s">
        <v>349</v>
      </c>
      <c r="C2820">
        <v>107</v>
      </c>
      <c r="D2820" t="s">
        <v>200</v>
      </c>
      <c r="E2820">
        <v>2621</v>
      </c>
      <c r="F2820" s="1">
        <v>0.1817</v>
      </c>
      <c r="G2820" s="1">
        <v>7.4999999999999997E-3</v>
      </c>
      <c r="H2820" s="1">
        <v>0.42949999999999999</v>
      </c>
      <c r="I2820" s="1">
        <v>0.38140000000000002</v>
      </c>
    </row>
    <row r="2821" spans="1:23" x14ac:dyDescent="0.25">
      <c r="A2821" t="s">
        <v>203</v>
      </c>
      <c r="B2821" t="s">
        <v>350</v>
      </c>
      <c r="C2821">
        <v>94</v>
      </c>
      <c r="D2821" t="s">
        <v>200</v>
      </c>
      <c r="E2821">
        <v>2621</v>
      </c>
      <c r="F2821" s="1">
        <v>0.32479999999999998</v>
      </c>
      <c r="G2821" s="1">
        <v>8.1199999999999994E-2</v>
      </c>
      <c r="H2821" s="1">
        <v>0.29620000000000002</v>
      </c>
      <c r="I2821" s="1">
        <v>0.29780000000000001</v>
      </c>
    </row>
    <row r="2822" spans="1:23" x14ac:dyDescent="0.25">
      <c r="A2822" t="s">
        <v>203</v>
      </c>
      <c r="B2822" t="s">
        <v>348</v>
      </c>
      <c r="C2822">
        <v>62</v>
      </c>
      <c r="D2822" t="s">
        <v>201</v>
      </c>
      <c r="E2822">
        <v>2621</v>
      </c>
      <c r="F2822" s="1">
        <v>0.25230000000000002</v>
      </c>
      <c r="G2822" s="1">
        <v>6.4799999999999996E-2</v>
      </c>
      <c r="H2822" s="1">
        <v>0.41010000000000002</v>
      </c>
      <c r="I2822" s="1">
        <v>0.27279999999999999</v>
      </c>
    </row>
    <row r="2823" spans="1:23" x14ac:dyDescent="0.25">
      <c r="A2823" t="s">
        <v>203</v>
      </c>
      <c r="B2823" t="s">
        <v>349</v>
      </c>
      <c r="C2823">
        <v>147</v>
      </c>
      <c r="D2823" t="s">
        <v>201</v>
      </c>
      <c r="E2823">
        <v>2621</v>
      </c>
      <c r="F2823" s="1">
        <v>0.16850000000000001</v>
      </c>
      <c r="G2823" s="1">
        <v>3.0599999999999999E-2</v>
      </c>
      <c r="H2823" s="1">
        <v>0.5736</v>
      </c>
      <c r="I2823" s="1">
        <v>0.22739999999999999</v>
      </c>
    </row>
    <row r="2824" spans="1:23" x14ac:dyDescent="0.25">
      <c r="A2824" t="s">
        <v>203</v>
      </c>
      <c r="B2824" t="s">
        <v>350</v>
      </c>
      <c r="C2824">
        <v>104</v>
      </c>
      <c r="D2824" t="s">
        <v>201</v>
      </c>
      <c r="E2824">
        <v>2621</v>
      </c>
      <c r="F2824" s="1">
        <v>0.36420000000000002</v>
      </c>
      <c r="G2824" s="1">
        <v>0.1333</v>
      </c>
      <c r="H2824" s="1">
        <v>0.22020000000000001</v>
      </c>
      <c r="I2824" s="1">
        <v>0.28239999999999998</v>
      </c>
    </row>
    <row r="2825" spans="1:23" x14ac:dyDescent="0.25">
      <c r="A2825" t="s">
        <v>203</v>
      </c>
      <c r="B2825" t="s">
        <v>348</v>
      </c>
      <c r="C2825">
        <v>90</v>
      </c>
      <c r="D2825" t="s">
        <v>202</v>
      </c>
      <c r="E2825">
        <v>2621</v>
      </c>
      <c r="F2825" s="1">
        <v>0.1522</v>
      </c>
      <c r="G2825" s="1">
        <v>6.3799999999999996E-2</v>
      </c>
      <c r="H2825" s="1">
        <v>0.63170000000000004</v>
      </c>
      <c r="I2825" s="1">
        <v>0.1522</v>
      </c>
    </row>
    <row r="2826" spans="1:23" x14ac:dyDescent="0.25">
      <c r="A2826" t="s">
        <v>204</v>
      </c>
      <c r="B2826" t="s">
        <v>204</v>
      </c>
      <c r="C2826">
        <v>2621</v>
      </c>
      <c r="D2826" t="s">
        <v>204</v>
      </c>
      <c r="E2826">
        <v>2621</v>
      </c>
      <c r="F2826" s="1">
        <v>0.2437</v>
      </c>
      <c r="G2826" s="1">
        <v>5.0299999999999997E-2</v>
      </c>
      <c r="H2826" s="1">
        <v>0.45090000000000002</v>
      </c>
      <c r="I2826" s="1">
        <v>0.25519999999999998</v>
      </c>
    </row>
    <row r="2828" spans="1:23" x14ac:dyDescent="0.25">
      <c r="A2828" t="s">
        <v>786</v>
      </c>
    </row>
    <row r="2829" spans="1:23" x14ac:dyDescent="0.25">
      <c r="A2829" t="s">
        <v>190</v>
      </c>
      <c r="B2829" t="s">
        <v>195</v>
      </c>
      <c r="C2829" t="s">
        <v>189</v>
      </c>
      <c r="D2829" t="s">
        <v>196</v>
      </c>
      <c r="E2829" t="s">
        <v>787</v>
      </c>
      <c r="F2829" t="s">
        <v>788</v>
      </c>
      <c r="G2829" t="s">
        <v>789</v>
      </c>
      <c r="H2829" t="s">
        <v>220</v>
      </c>
      <c r="I2829" t="s">
        <v>790</v>
      </c>
      <c r="J2829" t="s">
        <v>791</v>
      </c>
      <c r="K2829" t="s">
        <v>792</v>
      </c>
      <c r="L2829" t="s">
        <v>271</v>
      </c>
      <c r="M2829" t="s">
        <v>235</v>
      </c>
      <c r="N2829" t="s">
        <v>215</v>
      </c>
      <c r="O2829" t="s">
        <v>793</v>
      </c>
      <c r="P2829" t="s">
        <v>794</v>
      </c>
      <c r="Q2829" t="s">
        <v>795</v>
      </c>
      <c r="R2829" t="s">
        <v>796</v>
      </c>
      <c r="S2829" t="s">
        <v>797</v>
      </c>
      <c r="T2829" t="s">
        <v>798</v>
      </c>
      <c r="U2829" t="s">
        <v>799</v>
      </c>
      <c r="V2829" t="s">
        <v>800</v>
      </c>
      <c r="W2829" t="s">
        <v>801</v>
      </c>
    </row>
    <row r="2830" spans="1:23" x14ac:dyDescent="0.25">
      <c r="A2830" t="s">
        <v>198</v>
      </c>
      <c r="B2830">
        <v>81</v>
      </c>
      <c r="C2830" t="s">
        <v>197</v>
      </c>
      <c r="D2830">
        <v>2625</v>
      </c>
      <c r="E2830" s="1">
        <v>1.3899999999999999E-2</v>
      </c>
      <c r="F2830" s="1">
        <v>3.8800000000000001E-2</v>
      </c>
      <c r="G2830" s="1">
        <v>1.11E-2</v>
      </c>
      <c r="H2830" s="1">
        <v>1.5100000000000001E-2</v>
      </c>
      <c r="I2830" s="1">
        <v>1.11E-2</v>
      </c>
      <c r="K2830" s="1">
        <v>7.4999999999999997E-3</v>
      </c>
      <c r="L2830" s="1">
        <v>0.45200000000000001</v>
      </c>
      <c r="P2830" s="1">
        <v>1.3899999999999999E-2</v>
      </c>
      <c r="U2830" s="1">
        <v>0.43569999999999998</v>
      </c>
      <c r="V2830" s="1">
        <v>0.48930000000000001</v>
      </c>
      <c r="W2830" s="1">
        <v>0.48930000000000001</v>
      </c>
    </row>
    <row r="2831" spans="1:23" x14ac:dyDescent="0.25">
      <c r="A2831" t="s">
        <v>198</v>
      </c>
      <c r="B2831">
        <v>366</v>
      </c>
      <c r="C2831" t="s">
        <v>199</v>
      </c>
      <c r="D2831">
        <v>2625</v>
      </c>
      <c r="E2831" s="1">
        <v>5.1299999999999998E-2</v>
      </c>
      <c r="F2831" s="1">
        <v>0.249</v>
      </c>
      <c r="G2831" s="1">
        <v>9.4000000000000004E-3</v>
      </c>
      <c r="H2831" s="1">
        <v>7.3000000000000001E-3</v>
      </c>
      <c r="K2831" s="1">
        <v>2.2599999999999999E-2</v>
      </c>
      <c r="L2831" s="1">
        <v>0.13650000000000001</v>
      </c>
      <c r="M2831" s="1">
        <v>1.2999999999999999E-3</v>
      </c>
      <c r="N2831" s="1">
        <v>8.9999999999999998E-4</v>
      </c>
      <c r="O2831" s="1">
        <v>6.4000000000000003E-3</v>
      </c>
      <c r="P2831" s="1">
        <v>0.09</v>
      </c>
      <c r="Q2831" s="1">
        <v>1.95E-2</v>
      </c>
      <c r="R2831" s="1">
        <v>3.1399999999999997E-2</v>
      </c>
      <c r="S2831" s="1">
        <v>2E-3</v>
      </c>
      <c r="U2831" s="1">
        <v>0.69799999999999995</v>
      </c>
      <c r="V2831" s="1">
        <v>0.74980000000000002</v>
      </c>
      <c r="W2831" s="1">
        <v>0.71120000000000005</v>
      </c>
    </row>
    <row r="2832" spans="1:23" x14ac:dyDescent="0.25">
      <c r="A2832" t="s">
        <v>198</v>
      </c>
      <c r="B2832">
        <v>385</v>
      </c>
      <c r="C2832" t="s">
        <v>200</v>
      </c>
      <c r="D2832">
        <v>2625</v>
      </c>
      <c r="E2832" s="1">
        <v>1.2999999999999999E-2</v>
      </c>
      <c r="F2832" s="1">
        <v>5.74E-2</v>
      </c>
      <c r="G2832" s="1">
        <v>1.0200000000000001E-2</v>
      </c>
      <c r="H2832" s="1">
        <v>2.3900000000000001E-2</v>
      </c>
      <c r="J2832" s="1">
        <v>1E-4</v>
      </c>
      <c r="K2832" s="1">
        <v>6.7999999999999996E-3</v>
      </c>
      <c r="L2832" s="1">
        <v>0.33250000000000002</v>
      </c>
      <c r="M2832" s="1">
        <v>4.5999999999999999E-3</v>
      </c>
      <c r="N2832" s="1">
        <v>4.5999999999999999E-3</v>
      </c>
      <c r="O2832" s="1">
        <v>2.4299999999999999E-2</v>
      </c>
      <c r="P2832" s="1">
        <v>3.1600000000000003E-2</v>
      </c>
      <c r="Q2832" s="1">
        <v>5.1999999999999998E-3</v>
      </c>
      <c r="R2832" s="1">
        <v>4.5999999999999999E-3</v>
      </c>
      <c r="T2832" s="1">
        <v>4.1999999999999997E-3</v>
      </c>
      <c r="U2832" s="1">
        <v>0.4703</v>
      </c>
      <c r="V2832" s="1">
        <v>0.51839999999999997</v>
      </c>
      <c r="W2832" s="1">
        <v>0.51029999999999998</v>
      </c>
    </row>
    <row r="2833" spans="1:24" x14ac:dyDescent="0.25">
      <c r="A2833" t="s">
        <v>198</v>
      </c>
      <c r="B2833">
        <v>255</v>
      </c>
      <c r="C2833" t="s">
        <v>201</v>
      </c>
      <c r="D2833">
        <v>2625</v>
      </c>
      <c r="E2833" s="1">
        <v>1.5100000000000001E-2</v>
      </c>
      <c r="F2833" s="1">
        <v>4.2900000000000001E-2</v>
      </c>
      <c r="H2833" s="1">
        <v>1.6E-2</v>
      </c>
      <c r="K2833" s="1">
        <v>1.2999999999999999E-3</v>
      </c>
      <c r="L2833" s="1">
        <v>0.2177</v>
      </c>
      <c r="O2833" s="1">
        <v>1.2500000000000001E-2</v>
      </c>
      <c r="P2833" s="1">
        <v>1.66E-2</v>
      </c>
      <c r="Q2833" s="1">
        <v>2.3800000000000002E-2</v>
      </c>
      <c r="R2833" s="1">
        <v>1.2500000000000001E-2</v>
      </c>
      <c r="S2833" s="1">
        <v>1.29E-2</v>
      </c>
      <c r="T2833" s="1">
        <v>1.41E-2</v>
      </c>
      <c r="U2833" s="1">
        <v>0.62629999999999997</v>
      </c>
      <c r="V2833" s="1">
        <v>0.65269999999999995</v>
      </c>
      <c r="W2833" s="1">
        <v>0.63080000000000003</v>
      </c>
    </row>
    <row r="2834" spans="1:24" x14ac:dyDescent="0.25">
      <c r="A2834" t="s">
        <v>198</v>
      </c>
      <c r="B2834">
        <v>96</v>
      </c>
      <c r="C2834" t="s">
        <v>202</v>
      </c>
      <c r="D2834">
        <v>2625</v>
      </c>
      <c r="E2834" s="1">
        <v>9.4999999999999998E-3</v>
      </c>
      <c r="F2834" s="1">
        <v>5.62E-2</v>
      </c>
      <c r="G2834" s="1">
        <v>6.5100000000000005E-2</v>
      </c>
      <c r="H2834" s="1">
        <v>3.0300000000000001E-2</v>
      </c>
      <c r="K2834" s="1">
        <v>5.1000000000000004E-3</v>
      </c>
      <c r="L2834" s="1">
        <v>0.32650000000000001</v>
      </c>
      <c r="N2834" s="1">
        <v>2.7799999999999998E-2</v>
      </c>
      <c r="Q2834" s="1">
        <v>8.0000000000000002E-3</v>
      </c>
      <c r="R2834" s="1">
        <v>5.1000000000000004E-3</v>
      </c>
      <c r="S2834" s="1">
        <v>3.1399999999999997E-2</v>
      </c>
      <c r="T2834" s="1">
        <v>1.6199999999999999E-2</v>
      </c>
      <c r="U2834" s="1">
        <v>0.35930000000000001</v>
      </c>
      <c r="V2834" s="1">
        <v>0.41249999999999998</v>
      </c>
      <c r="W2834" s="1">
        <v>0.45450000000000002</v>
      </c>
    </row>
    <row r="2835" spans="1:24" x14ac:dyDescent="0.25">
      <c r="A2835" t="s">
        <v>203</v>
      </c>
      <c r="B2835">
        <v>530</v>
      </c>
      <c r="C2835" t="s">
        <v>199</v>
      </c>
      <c r="D2835">
        <v>2625</v>
      </c>
      <c r="E2835" s="1">
        <v>5.3999999999999999E-2</v>
      </c>
      <c r="F2835" s="1">
        <v>0.20499999999999999</v>
      </c>
      <c r="G2835" s="1">
        <v>3.3E-3</v>
      </c>
      <c r="H2835" s="1">
        <v>5.3E-3</v>
      </c>
      <c r="J2835" s="1">
        <v>1.7500000000000002E-2</v>
      </c>
      <c r="K2835" s="1">
        <v>1.78E-2</v>
      </c>
      <c r="L2835" s="1">
        <v>5.11E-2</v>
      </c>
      <c r="M2835" s="1">
        <v>4.0000000000000002E-4</v>
      </c>
      <c r="O2835" s="1">
        <v>3.4599999999999999E-2</v>
      </c>
      <c r="P2835" s="1">
        <v>8.9599999999999999E-2</v>
      </c>
      <c r="Q2835" s="1">
        <v>3.7499999999999999E-2</v>
      </c>
      <c r="R2835" s="1">
        <v>1.9699999999999999E-2</v>
      </c>
      <c r="T2835" s="1">
        <v>3.8300000000000001E-2</v>
      </c>
      <c r="U2835" s="1">
        <v>0.85589999999999999</v>
      </c>
      <c r="V2835" s="1">
        <v>0.89259999999999995</v>
      </c>
      <c r="W2835" s="1">
        <v>0.83909999999999996</v>
      </c>
    </row>
    <row r="2836" spans="1:24" x14ac:dyDescent="0.25">
      <c r="A2836" t="s">
        <v>203</v>
      </c>
      <c r="B2836">
        <v>502</v>
      </c>
      <c r="C2836" t="s">
        <v>200</v>
      </c>
      <c r="D2836">
        <v>2625</v>
      </c>
      <c r="E2836" s="1">
        <v>2.69E-2</v>
      </c>
      <c r="F2836" s="1">
        <v>0.13350000000000001</v>
      </c>
      <c r="G2836" s="1">
        <v>1.8700000000000001E-2</v>
      </c>
      <c r="H2836" s="1">
        <v>1.5E-3</v>
      </c>
      <c r="K2836" s="1">
        <v>2.5000000000000001E-3</v>
      </c>
      <c r="L2836" s="1">
        <v>0.2737</v>
      </c>
      <c r="M2836" s="1">
        <v>1.9699999999999999E-2</v>
      </c>
      <c r="N2836" s="1">
        <v>5.0000000000000001E-4</v>
      </c>
      <c r="O2836" s="1">
        <v>4.07E-2</v>
      </c>
      <c r="P2836" s="1">
        <v>4.58E-2</v>
      </c>
      <c r="Q2836" s="1">
        <v>6.1000000000000004E-3</v>
      </c>
      <c r="R2836" s="1">
        <v>1.2500000000000001E-2</v>
      </c>
      <c r="T2836" s="1">
        <v>2.1499999999999998E-2</v>
      </c>
      <c r="U2836" s="1">
        <v>0.42130000000000001</v>
      </c>
      <c r="V2836" s="1">
        <v>0.4879</v>
      </c>
      <c r="W2836" s="1">
        <v>0.49459999999999998</v>
      </c>
    </row>
    <row r="2837" spans="1:24" x14ac:dyDescent="0.25">
      <c r="A2837" t="s">
        <v>203</v>
      </c>
      <c r="B2837">
        <v>320</v>
      </c>
      <c r="C2837" t="s">
        <v>201</v>
      </c>
      <c r="D2837">
        <v>2625</v>
      </c>
      <c r="E2837" s="1">
        <v>8.0100000000000005E-2</v>
      </c>
      <c r="F2837" s="1">
        <v>0.25040000000000001</v>
      </c>
      <c r="H2837" s="1">
        <v>5.7999999999999996E-3</v>
      </c>
      <c r="K2837" s="1">
        <v>3.2000000000000002E-3</v>
      </c>
      <c r="L2837" s="1">
        <v>8.0399999999999999E-2</v>
      </c>
      <c r="M2837" s="1">
        <v>2E-3</v>
      </c>
      <c r="N2837" s="1">
        <v>1.5E-3</v>
      </c>
      <c r="O2837" s="1">
        <v>2.12E-2</v>
      </c>
      <c r="P2837" s="1">
        <v>3.27E-2</v>
      </c>
      <c r="Q2837" s="1">
        <v>1.3899999999999999E-2</v>
      </c>
      <c r="R2837" s="1">
        <v>3.9399999999999998E-2</v>
      </c>
      <c r="S2837" s="1">
        <v>8.0999999999999996E-3</v>
      </c>
      <c r="T2837" s="1">
        <v>1.1999999999999999E-3</v>
      </c>
      <c r="U2837" s="1">
        <v>0.77029999999999998</v>
      </c>
      <c r="V2837" s="1">
        <v>0.77190000000000003</v>
      </c>
      <c r="W2837" s="1">
        <v>0.65700000000000003</v>
      </c>
    </row>
    <row r="2838" spans="1:24" x14ac:dyDescent="0.25">
      <c r="A2838" t="s">
        <v>203</v>
      </c>
      <c r="B2838">
        <v>90</v>
      </c>
      <c r="C2838" t="s">
        <v>202</v>
      </c>
      <c r="D2838">
        <v>2625</v>
      </c>
      <c r="E2838" s="1">
        <v>2.1299999999999999E-2</v>
      </c>
      <c r="F2838" s="1">
        <v>0.152</v>
      </c>
      <c r="G2838" s="1">
        <v>3.2199999999999999E-2</v>
      </c>
      <c r="H2838" s="1">
        <v>2.9100000000000001E-2</v>
      </c>
      <c r="K2838" s="1">
        <v>2.7199999999999998E-2</v>
      </c>
      <c r="L2838" s="1">
        <v>0.4894</v>
      </c>
      <c r="M2838" s="1">
        <v>4.8999999999999998E-3</v>
      </c>
      <c r="P2838" s="1">
        <v>3.5099999999999999E-2</v>
      </c>
      <c r="Q2838" s="1">
        <v>9.5999999999999992E-3</v>
      </c>
      <c r="R2838" s="1">
        <v>1.4E-2</v>
      </c>
      <c r="S2838" s="1">
        <v>7.5300000000000006E-2</v>
      </c>
      <c r="T2838" s="1">
        <v>5.9200000000000003E-2</v>
      </c>
      <c r="U2838" s="1">
        <v>0.2868</v>
      </c>
      <c r="V2838" s="1">
        <v>0.2445</v>
      </c>
      <c r="W2838" s="1">
        <v>0.2082</v>
      </c>
    </row>
    <row r="2839" spans="1:24" x14ac:dyDescent="0.25">
      <c r="A2839" t="s">
        <v>204</v>
      </c>
      <c r="B2839">
        <v>2625</v>
      </c>
      <c r="C2839" t="s">
        <v>204</v>
      </c>
      <c r="D2839">
        <v>2625</v>
      </c>
      <c r="E2839" s="1">
        <v>3.1300000000000001E-2</v>
      </c>
      <c r="F2839" s="1">
        <v>0.13739999999999999</v>
      </c>
      <c r="G2839" s="1">
        <v>1.72E-2</v>
      </c>
      <c r="H2839" s="1">
        <v>1.15E-2</v>
      </c>
      <c r="I2839" s="1">
        <v>6.9999999999999999E-4</v>
      </c>
      <c r="J2839" s="1">
        <v>2.3E-3</v>
      </c>
      <c r="K2839" s="1">
        <v>9.4000000000000004E-3</v>
      </c>
      <c r="L2839" s="1">
        <v>0.249</v>
      </c>
      <c r="M2839" s="1">
        <v>7.1999999999999998E-3</v>
      </c>
      <c r="N2839" s="1">
        <v>3.5999999999999999E-3</v>
      </c>
      <c r="O2839" s="1">
        <v>2.2599999999999999E-2</v>
      </c>
      <c r="P2839" s="1">
        <v>4.6300000000000001E-2</v>
      </c>
      <c r="Q2839" s="1">
        <v>1.2999999999999999E-2</v>
      </c>
      <c r="R2839" s="1">
        <v>1.4800000000000001E-2</v>
      </c>
      <c r="S2839" s="1">
        <v>8.0999999999999996E-3</v>
      </c>
      <c r="T2839" s="1">
        <v>1.7399999999999999E-2</v>
      </c>
      <c r="U2839" s="1">
        <v>0.53590000000000004</v>
      </c>
      <c r="V2839" s="1">
        <v>0.58140000000000003</v>
      </c>
      <c r="W2839" s="1">
        <v>0.5655</v>
      </c>
    </row>
    <row r="2841" spans="1:24" x14ac:dyDescent="0.25">
      <c r="A2841" t="s">
        <v>802</v>
      </c>
    </row>
    <row r="2842" spans="1:24" x14ac:dyDescent="0.25">
      <c r="A2842" t="s">
        <v>190</v>
      </c>
      <c r="B2842" t="s">
        <v>206</v>
      </c>
      <c r="C2842" t="s">
        <v>195</v>
      </c>
      <c r="D2842" t="s">
        <v>189</v>
      </c>
      <c r="E2842" t="s">
        <v>196</v>
      </c>
      <c r="F2842" t="s">
        <v>787</v>
      </c>
      <c r="G2842" t="s">
        <v>788</v>
      </c>
      <c r="H2842" t="s">
        <v>789</v>
      </c>
      <c r="I2842" t="s">
        <v>220</v>
      </c>
      <c r="J2842" t="s">
        <v>790</v>
      </c>
      <c r="K2842" t="s">
        <v>791</v>
      </c>
      <c r="L2842" t="s">
        <v>792</v>
      </c>
      <c r="M2842" t="s">
        <v>271</v>
      </c>
      <c r="N2842" t="s">
        <v>235</v>
      </c>
      <c r="O2842" t="s">
        <v>215</v>
      </c>
      <c r="P2842" t="s">
        <v>793</v>
      </c>
      <c r="Q2842" t="s">
        <v>794</v>
      </c>
      <c r="R2842" t="s">
        <v>795</v>
      </c>
      <c r="S2842" t="s">
        <v>796</v>
      </c>
      <c r="T2842" t="s">
        <v>797</v>
      </c>
      <c r="U2842" t="s">
        <v>798</v>
      </c>
      <c r="V2842" t="s">
        <v>799</v>
      </c>
      <c r="W2842" t="s">
        <v>800</v>
      </c>
      <c r="X2842" t="s">
        <v>801</v>
      </c>
    </row>
    <row r="2843" spans="1:24" s="29" customFormat="1" x14ac:dyDescent="0.25">
      <c r="A2843" s="29" t="s">
        <v>198</v>
      </c>
      <c r="B2843" s="29" t="s">
        <v>209</v>
      </c>
      <c r="C2843" s="29">
        <v>20</v>
      </c>
      <c r="D2843" s="29" t="s">
        <v>197</v>
      </c>
      <c r="E2843" s="29">
        <v>2625</v>
      </c>
      <c r="F2843" s="30">
        <v>5.3199999999999997E-2</v>
      </c>
      <c r="G2843" s="30">
        <v>0.10639999999999999</v>
      </c>
      <c r="M2843" s="30">
        <v>0.49320000000000003</v>
      </c>
      <c r="Q2843" s="30">
        <v>5.3199999999999997E-2</v>
      </c>
      <c r="V2843" s="30">
        <v>0.4536</v>
      </c>
      <c r="W2843" s="30">
        <v>0.4536</v>
      </c>
      <c r="X2843" s="30">
        <v>0.4536</v>
      </c>
    </row>
    <row r="2844" spans="1:24" x14ac:dyDescent="0.25">
      <c r="A2844" t="s">
        <v>198</v>
      </c>
      <c r="B2844" t="s">
        <v>210</v>
      </c>
      <c r="C2844">
        <v>61</v>
      </c>
      <c r="D2844" t="s">
        <v>197</v>
      </c>
      <c r="E2844">
        <v>2625</v>
      </c>
      <c r="G2844" s="1">
        <v>1.4999999999999999E-2</v>
      </c>
      <c r="H2844" s="1">
        <v>1.4999999999999999E-2</v>
      </c>
      <c r="I2844" s="1">
        <v>2.0400000000000001E-2</v>
      </c>
      <c r="J2844" s="1">
        <v>1.4999999999999999E-2</v>
      </c>
      <c r="L2844" s="1">
        <v>1.0200000000000001E-2</v>
      </c>
      <c r="M2844" s="1">
        <v>0.4375</v>
      </c>
      <c r="V2844" s="1">
        <v>0.42949999999999999</v>
      </c>
      <c r="W2844" s="1">
        <v>0.50180000000000002</v>
      </c>
      <c r="X2844" s="1">
        <v>0.50180000000000002</v>
      </c>
    </row>
    <row r="2845" spans="1:24" x14ac:dyDescent="0.25">
      <c r="A2845" t="s">
        <v>198</v>
      </c>
      <c r="B2845" t="s">
        <v>209</v>
      </c>
      <c r="C2845">
        <v>76</v>
      </c>
      <c r="D2845" t="s">
        <v>199</v>
      </c>
      <c r="E2845">
        <v>2625</v>
      </c>
      <c r="F2845" s="1">
        <v>6.9800000000000001E-2</v>
      </c>
      <c r="G2845" s="1">
        <v>0.4083</v>
      </c>
      <c r="L2845" s="1">
        <v>1.2999999999999999E-3</v>
      </c>
      <c r="M2845" s="1">
        <v>0.2056</v>
      </c>
      <c r="P2845" s="1">
        <v>2.5999999999999999E-3</v>
      </c>
      <c r="Q2845" s="1">
        <v>6.7500000000000004E-2</v>
      </c>
      <c r="R2845" s="1">
        <v>6.4999999999999997E-3</v>
      </c>
      <c r="S2845" s="1">
        <v>1.2999999999999999E-3</v>
      </c>
      <c r="V2845" s="1">
        <v>0.63539999999999996</v>
      </c>
      <c r="W2845" s="1">
        <v>0.61599999999999999</v>
      </c>
      <c r="X2845" s="1">
        <v>0.61829999999999996</v>
      </c>
    </row>
    <row r="2846" spans="1:24" x14ac:dyDescent="0.25">
      <c r="A2846" t="s">
        <v>198</v>
      </c>
      <c r="B2846" t="s">
        <v>210</v>
      </c>
      <c r="C2846">
        <v>290</v>
      </c>
      <c r="D2846" t="s">
        <v>199</v>
      </c>
      <c r="E2846">
        <v>2625</v>
      </c>
      <c r="F2846" s="1">
        <v>4.5400000000000003E-2</v>
      </c>
      <c r="G2846" s="1">
        <v>0.19789999999999999</v>
      </c>
      <c r="H2846" s="1">
        <v>1.24E-2</v>
      </c>
      <c r="I2846" s="1">
        <v>9.5999999999999992E-3</v>
      </c>
      <c r="L2846" s="1">
        <v>2.9399999999999999E-2</v>
      </c>
      <c r="M2846" s="1">
        <v>0.1143</v>
      </c>
      <c r="N2846" s="1">
        <v>1.6999999999999999E-3</v>
      </c>
      <c r="O2846" s="1">
        <v>1.1999999999999999E-3</v>
      </c>
      <c r="P2846" s="1">
        <v>7.6E-3</v>
      </c>
      <c r="Q2846" s="1">
        <v>9.7199999999999995E-2</v>
      </c>
      <c r="R2846" s="1">
        <v>2.3699999999999999E-2</v>
      </c>
      <c r="S2846" s="1">
        <v>4.1099999999999998E-2</v>
      </c>
      <c r="T2846" s="1">
        <v>2.5999999999999999E-3</v>
      </c>
      <c r="V2846" s="1">
        <v>0.71809999999999996</v>
      </c>
      <c r="W2846" s="1">
        <v>0.79259999999999997</v>
      </c>
      <c r="X2846" s="1">
        <v>0.7409</v>
      </c>
    </row>
    <row r="2847" spans="1:24" x14ac:dyDescent="0.25">
      <c r="A2847" t="s">
        <v>198</v>
      </c>
      <c r="B2847" t="s">
        <v>210</v>
      </c>
      <c r="C2847">
        <v>310</v>
      </c>
      <c r="D2847" t="s">
        <v>200</v>
      </c>
      <c r="E2847">
        <v>2625</v>
      </c>
      <c r="F2847" s="1">
        <v>4.8999999999999998E-3</v>
      </c>
      <c r="G2847" s="1">
        <v>4.4299999999999999E-2</v>
      </c>
      <c r="H2847" s="1">
        <v>1.29E-2</v>
      </c>
      <c r="I2847" s="1">
        <v>1.5800000000000002E-2</v>
      </c>
      <c r="K2847" s="1">
        <v>1E-4</v>
      </c>
      <c r="L2847" s="1">
        <v>6.4000000000000003E-3</v>
      </c>
      <c r="M2847" s="1">
        <v>0.33050000000000002</v>
      </c>
      <c r="N2847" s="1">
        <v>3.0000000000000001E-3</v>
      </c>
      <c r="O2847" s="1">
        <v>5.7999999999999996E-3</v>
      </c>
      <c r="P2847" s="1">
        <v>1.3299999999999999E-2</v>
      </c>
      <c r="Q2847" s="1">
        <v>2.01E-2</v>
      </c>
      <c r="U2847" s="1">
        <v>5.3E-3</v>
      </c>
      <c r="V2847" s="1">
        <v>0.50160000000000005</v>
      </c>
      <c r="W2847" s="1">
        <v>0.53139999999999998</v>
      </c>
      <c r="X2847" s="1">
        <v>0.52029999999999998</v>
      </c>
    </row>
    <row r="2848" spans="1:24" x14ac:dyDescent="0.25">
      <c r="A2848" t="s">
        <v>198</v>
      </c>
      <c r="B2848" t="s">
        <v>209</v>
      </c>
      <c r="C2848">
        <v>75</v>
      </c>
      <c r="D2848" t="s">
        <v>200</v>
      </c>
      <c r="E2848">
        <v>2625</v>
      </c>
      <c r="F2848" s="1">
        <v>4.36E-2</v>
      </c>
      <c r="G2848" s="1">
        <v>0.1065</v>
      </c>
      <c r="I2848" s="1">
        <v>5.4300000000000001E-2</v>
      </c>
      <c r="L2848" s="1">
        <v>8.2000000000000007E-3</v>
      </c>
      <c r="M2848" s="1">
        <v>0.3402</v>
      </c>
      <c r="N2848" s="1">
        <v>1.0800000000000001E-2</v>
      </c>
      <c r="P2848" s="1">
        <v>6.5600000000000006E-2</v>
      </c>
      <c r="Q2848" s="1">
        <v>7.4800000000000005E-2</v>
      </c>
      <c r="R2848" s="1">
        <v>2.4899999999999999E-2</v>
      </c>
      <c r="S2848" s="1">
        <v>2.1899999999999999E-2</v>
      </c>
      <c r="V2848" s="1">
        <v>0.3528</v>
      </c>
      <c r="W2848" s="1">
        <v>0.46970000000000001</v>
      </c>
      <c r="X2848" s="1">
        <v>0.47310000000000002</v>
      </c>
    </row>
    <row r="2849" spans="1:24" x14ac:dyDescent="0.25">
      <c r="A2849" t="s">
        <v>198</v>
      </c>
      <c r="B2849" t="s">
        <v>209</v>
      </c>
      <c r="C2849">
        <v>51</v>
      </c>
      <c r="D2849" t="s">
        <v>201</v>
      </c>
      <c r="E2849">
        <v>2625</v>
      </c>
      <c r="F2849" s="1">
        <v>2.98E-2</v>
      </c>
      <c r="G2849" s="1">
        <v>6.1699999999999998E-2</v>
      </c>
      <c r="M2849" s="1">
        <v>0.2009</v>
      </c>
      <c r="P2849" s="1">
        <v>6.4999999999999997E-3</v>
      </c>
      <c r="R2849" s="1">
        <v>5.8700000000000002E-2</v>
      </c>
      <c r="V2849" s="1">
        <v>0.54530000000000001</v>
      </c>
      <c r="W2849" s="1">
        <v>0.61260000000000003</v>
      </c>
      <c r="X2849" s="1">
        <v>0.61799999999999999</v>
      </c>
    </row>
    <row r="2850" spans="1:24" x14ac:dyDescent="0.25">
      <c r="A2850" t="s">
        <v>198</v>
      </c>
      <c r="B2850" t="s">
        <v>210</v>
      </c>
      <c r="C2850">
        <v>204</v>
      </c>
      <c r="D2850" t="s">
        <v>201</v>
      </c>
      <c r="E2850">
        <v>2625</v>
      </c>
      <c r="F2850" s="1">
        <v>1.1599999999999999E-2</v>
      </c>
      <c r="G2850" s="1">
        <v>3.85E-2</v>
      </c>
      <c r="I2850" s="1">
        <v>1.9800000000000002E-2</v>
      </c>
      <c r="L2850" s="1">
        <v>1.6000000000000001E-3</v>
      </c>
      <c r="M2850" s="1">
        <v>0.22170000000000001</v>
      </c>
      <c r="P2850" s="1">
        <v>1.3899999999999999E-2</v>
      </c>
      <c r="Q2850" s="1">
        <v>2.06E-2</v>
      </c>
      <c r="R2850" s="1">
        <v>1.55E-2</v>
      </c>
      <c r="S2850" s="1">
        <v>1.55E-2</v>
      </c>
      <c r="T2850" s="1">
        <v>1.5900000000000001E-2</v>
      </c>
      <c r="U2850" s="1">
        <v>1.7500000000000002E-2</v>
      </c>
      <c r="V2850" s="1">
        <v>0.64559999999999995</v>
      </c>
      <c r="W2850" s="1">
        <v>0.66220000000000001</v>
      </c>
      <c r="X2850" s="1">
        <v>0.63380000000000003</v>
      </c>
    </row>
    <row r="2851" spans="1:24" x14ac:dyDescent="0.25">
      <c r="A2851" t="s">
        <v>198</v>
      </c>
      <c r="B2851" t="s">
        <v>210</v>
      </c>
      <c r="C2851">
        <v>71</v>
      </c>
      <c r="D2851" t="s">
        <v>202</v>
      </c>
      <c r="E2851">
        <v>2625</v>
      </c>
      <c r="G2851" s="1">
        <v>3.5999999999999999E-3</v>
      </c>
      <c r="H2851" s="1">
        <v>5.5599999999999997E-2</v>
      </c>
      <c r="I2851" s="1">
        <v>3.5999999999999999E-3</v>
      </c>
      <c r="L2851" s="1">
        <v>7.1000000000000004E-3</v>
      </c>
      <c r="M2851" s="1">
        <v>0.35270000000000001</v>
      </c>
      <c r="O2851" s="1">
        <v>3.9100000000000003E-2</v>
      </c>
      <c r="R2851" s="1">
        <v>1.1299999999999999E-2</v>
      </c>
      <c r="S2851" s="1">
        <v>3.5999999999999999E-3</v>
      </c>
      <c r="T2851" s="1">
        <v>2.1499999999999998E-2</v>
      </c>
      <c r="V2851" s="1">
        <v>0.378</v>
      </c>
      <c r="W2851" s="1">
        <v>0.42620000000000002</v>
      </c>
      <c r="X2851" s="1">
        <v>0.46289999999999998</v>
      </c>
    </row>
    <row r="2852" spans="1:24" s="29" customFormat="1" x14ac:dyDescent="0.25">
      <c r="A2852" s="29" t="s">
        <v>198</v>
      </c>
      <c r="B2852" s="29" t="s">
        <v>209</v>
      </c>
      <c r="C2852" s="29">
        <v>25</v>
      </c>
      <c r="D2852" s="29" t="s">
        <v>202</v>
      </c>
      <c r="E2852" s="29">
        <v>2625</v>
      </c>
      <c r="F2852" s="30">
        <v>3.27E-2</v>
      </c>
      <c r="G2852" s="30">
        <v>0.1852</v>
      </c>
      <c r="H2852" s="30">
        <v>8.8400000000000006E-2</v>
      </c>
      <c r="I2852" s="30">
        <v>9.5699999999999993E-2</v>
      </c>
      <c r="M2852" s="30">
        <v>0.26240000000000002</v>
      </c>
      <c r="S2852" s="30">
        <v>8.6999999999999994E-3</v>
      </c>
      <c r="T2852" s="30">
        <v>5.57E-2</v>
      </c>
      <c r="U2852" s="30">
        <v>5.57E-2</v>
      </c>
      <c r="V2852" s="30">
        <v>0.31340000000000001</v>
      </c>
      <c r="W2852" s="30">
        <v>0.37890000000000001</v>
      </c>
      <c r="X2852" s="30">
        <v>0.43380000000000002</v>
      </c>
    </row>
    <row r="2853" spans="1:24" x14ac:dyDescent="0.25">
      <c r="A2853" t="s">
        <v>203</v>
      </c>
      <c r="B2853" t="s">
        <v>209</v>
      </c>
      <c r="C2853">
        <v>126</v>
      </c>
      <c r="D2853" t="s">
        <v>199</v>
      </c>
      <c r="E2853">
        <v>2625</v>
      </c>
      <c r="F2853" s="1">
        <v>0.15890000000000001</v>
      </c>
      <c r="G2853" s="1">
        <v>0.27339999999999998</v>
      </c>
      <c r="H2853" s="1">
        <v>1.9E-3</v>
      </c>
      <c r="I2853" s="1">
        <v>9.2999999999999992E-3</v>
      </c>
      <c r="K2853" s="1">
        <v>6.4799999999999996E-2</v>
      </c>
      <c r="L2853" s="1">
        <v>3.9E-2</v>
      </c>
      <c r="M2853" s="1">
        <v>4.1200000000000001E-2</v>
      </c>
      <c r="P2853" s="1">
        <v>3.3399999999999999E-2</v>
      </c>
      <c r="Q2853" s="1">
        <v>0.10299999999999999</v>
      </c>
      <c r="R2853" s="1">
        <v>3.3E-3</v>
      </c>
      <c r="S2853" s="1">
        <v>6.1000000000000004E-3</v>
      </c>
      <c r="V2853" s="1">
        <v>0.89059999999999995</v>
      </c>
      <c r="W2853" s="1">
        <v>0.9163</v>
      </c>
      <c r="X2853" s="1">
        <v>0.71660000000000001</v>
      </c>
    </row>
    <row r="2854" spans="1:24" x14ac:dyDescent="0.25">
      <c r="A2854" t="s">
        <v>203</v>
      </c>
      <c r="B2854" t="s">
        <v>210</v>
      </c>
      <c r="C2854">
        <v>404</v>
      </c>
      <c r="D2854" t="s">
        <v>199</v>
      </c>
      <c r="E2854">
        <v>2625</v>
      </c>
      <c r="F2854" s="1">
        <v>1.52E-2</v>
      </c>
      <c r="G2854" s="1">
        <v>0.1797</v>
      </c>
      <c r="H2854" s="1">
        <v>3.8E-3</v>
      </c>
      <c r="I2854" s="1">
        <v>3.8999999999999998E-3</v>
      </c>
      <c r="L2854" s="1">
        <v>0.01</v>
      </c>
      <c r="M2854" s="1">
        <v>5.4800000000000001E-2</v>
      </c>
      <c r="N2854" s="1">
        <v>5.9999999999999995E-4</v>
      </c>
      <c r="P2854" s="1">
        <v>3.5000000000000003E-2</v>
      </c>
      <c r="Q2854" s="1">
        <v>8.4699999999999998E-2</v>
      </c>
      <c r="R2854" s="1">
        <v>5.0099999999999999E-2</v>
      </c>
      <c r="S2854" s="1">
        <v>2.47E-2</v>
      </c>
      <c r="U2854" s="1">
        <v>5.2499999999999998E-2</v>
      </c>
      <c r="V2854" s="1">
        <v>0.84309999999999996</v>
      </c>
      <c r="W2854" s="1">
        <v>0.88390000000000002</v>
      </c>
      <c r="X2854" s="1">
        <v>0.88429999999999997</v>
      </c>
    </row>
    <row r="2855" spans="1:24" x14ac:dyDescent="0.25">
      <c r="A2855" t="s">
        <v>203</v>
      </c>
      <c r="B2855" t="s">
        <v>210</v>
      </c>
      <c r="C2855">
        <v>366</v>
      </c>
      <c r="D2855" t="s">
        <v>200</v>
      </c>
      <c r="E2855">
        <v>2625</v>
      </c>
      <c r="F2855" s="1">
        <v>1.7299999999999999E-2</v>
      </c>
      <c r="G2855" s="1">
        <v>9.9299999999999999E-2</v>
      </c>
      <c r="H2855" s="1">
        <v>2.76E-2</v>
      </c>
      <c r="I2855" s="1">
        <v>2.0999999999999999E-3</v>
      </c>
      <c r="L2855" s="1">
        <v>1.2999999999999999E-3</v>
      </c>
      <c r="M2855" s="1">
        <v>0.2419</v>
      </c>
      <c r="N2855" s="1">
        <v>1.1900000000000001E-2</v>
      </c>
      <c r="P2855" s="1">
        <v>4.5900000000000003E-2</v>
      </c>
      <c r="Q2855" s="1">
        <v>4.2200000000000001E-2</v>
      </c>
      <c r="R2855" s="1">
        <v>7.7000000000000002E-3</v>
      </c>
      <c r="S2855" s="1">
        <v>1.61E-2</v>
      </c>
      <c r="U2855" s="1">
        <v>2.9399999999999999E-2</v>
      </c>
      <c r="V2855" s="1">
        <v>0.4647</v>
      </c>
      <c r="W2855" s="1">
        <v>0.50880000000000003</v>
      </c>
      <c r="X2855" s="1">
        <v>0.49730000000000002</v>
      </c>
    </row>
    <row r="2856" spans="1:24" x14ac:dyDescent="0.25">
      <c r="A2856" t="s">
        <v>203</v>
      </c>
      <c r="B2856" t="s">
        <v>209</v>
      </c>
      <c r="C2856">
        <v>136</v>
      </c>
      <c r="D2856" t="s">
        <v>200</v>
      </c>
      <c r="E2856">
        <v>2625</v>
      </c>
      <c r="F2856" s="1">
        <v>4.7199999999999999E-2</v>
      </c>
      <c r="G2856" s="1">
        <v>0.20599999999999999</v>
      </c>
      <c r="I2856" s="1">
        <v>2.0000000000000001E-4</v>
      </c>
      <c r="L2856" s="1">
        <v>4.8999999999999998E-3</v>
      </c>
      <c r="M2856" s="1">
        <v>0.34100000000000003</v>
      </c>
      <c r="N2856" s="1">
        <v>3.6299999999999999E-2</v>
      </c>
      <c r="O2856" s="1">
        <v>1.6000000000000001E-3</v>
      </c>
      <c r="P2856" s="1">
        <v>2.98E-2</v>
      </c>
      <c r="Q2856" s="1">
        <v>5.3499999999999999E-2</v>
      </c>
      <c r="R2856" s="1">
        <v>2.8999999999999998E-3</v>
      </c>
      <c r="S2856" s="1">
        <v>4.8999999999999998E-3</v>
      </c>
      <c r="U2856" s="1">
        <v>4.8999999999999998E-3</v>
      </c>
      <c r="V2856" s="1">
        <v>0.32979999999999998</v>
      </c>
      <c r="W2856" s="1">
        <v>0.44369999999999998</v>
      </c>
      <c r="X2856" s="1">
        <v>0.48899999999999999</v>
      </c>
    </row>
    <row r="2857" spans="1:24" x14ac:dyDescent="0.25">
      <c r="A2857" t="s">
        <v>203</v>
      </c>
      <c r="B2857" t="s">
        <v>209</v>
      </c>
      <c r="C2857">
        <v>85</v>
      </c>
      <c r="D2857" t="s">
        <v>201</v>
      </c>
      <c r="E2857">
        <v>2625</v>
      </c>
      <c r="F2857" s="1">
        <v>4.6600000000000003E-2</v>
      </c>
      <c r="G2857" s="1">
        <v>0.42459999999999998</v>
      </c>
      <c r="L2857" s="1">
        <v>5.9999999999999995E-4</v>
      </c>
      <c r="M2857" s="1">
        <v>0.1057</v>
      </c>
      <c r="O2857" s="1">
        <v>4.7000000000000002E-3</v>
      </c>
      <c r="P2857" s="1">
        <v>2.35E-2</v>
      </c>
      <c r="Q2857" s="1">
        <v>5.1900000000000002E-2</v>
      </c>
      <c r="R2857" s="1">
        <v>4.5100000000000001E-2</v>
      </c>
      <c r="S2857" s="1">
        <v>4.5100000000000001E-2</v>
      </c>
      <c r="T2857" s="1">
        <v>3.8E-3</v>
      </c>
      <c r="U2857" s="1">
        <v>3.8E-3</v>
      </c>
      <c r="V2857" s="1">
        <v>0.71</v>
      </c>
      <c r="W2857" s="1">
        <v>0.77110000000000001</v>
      </c>
      <c r="X2857" s="1">
        <v>0.64810000000000001</v>
      </c>
    </row>
    <row r="2858" spans="1:24" x14ac:dyDescent="0.25">
      <c r="A2858" t="s">
        <v>203</v>
      </c>
      <c r="B2858" t="s">
        <v>210</v>
      </c>
      <c r="C2858">
        <v>235</v>
      </c>
      <c r="D2858" t="s">
        <v>201</v>
      </c>
      <c r="E2858">
        <v>2625</v>
      </c>
      <c r="F2858" s="1">
        <v>9.5000000000000001E-2</v>
      </c>
      <c r="G2858" s="1">
        <v>0.17269999999999999</v>
      </c>
      <c r="I2858" s="1">
        <v>8.3999999999999995E-3</v>
      </c>
      <c r="L2858" s="1">
        <v>4.4000000000000003E-3</v>
      </c>
      <c r="M2858" s="1">
        <v>6.9099999999999995E-2</v>
      </c>
      <c r="N2858" s="1">
        <v>2.8E-3</v>
      </c>
      <c r="P2858" s="1">
        <v>2.0199999999999999E-2</v>
      </c>
      <c r="Q2858" s="1">
        <v>2.41E-2</v>
      </c>
      <c r="S2858" s="1">
        <v>3.6900000000000002E-2</v>
      </c>
      <c r="T2858" s="1">
        <v>1.01E-2</v>
      </c>
      <c r="V2858" s="1">
        <v>0.79730000000000001</v>
      </c>
      <c r="W2858" s="1">
        <v>0.7722</v>
      </c>
      <c r="X2858" s="1">
        <v>0.66100000000000003</v>
      </c>
    </row>
    <row r="2859" spans="1:24" s="29" customFormat="1" x14ac:dyDescent="0.25">
      <c r="A2859" s="29" t="s">
        <v>203</v>
      </c>
      <c r="B2859" s="29" t="s">
        <v>209</v>
      </c>
      <c r="C2859" s="29">
        <v>27</v>
      </c>
      <c r="D2859" s="29" t="s">
        <v>202</v>
      </c>
      <c r="E2859" s="29">
        <v>2625</v>
      </c>
      <c r="F2859" s="30">
        <v>3.1699999999999999E-2</v>
      </c>
      <c r="G2859" s="30">
        <v>0.33479999999999999</v>
      </c>
      <c r="H2859" s="30">
        <v>3.1699999999999999E-2</v>
      </c>
      <c r="I2859" s="30">
        <v>5.4899999999999997E-2</v>
      </c>
      <c r="L2859" s="30">
        <v>3.1699999999999999E-2</v>
      </c>
      <c r="M2859" s="30">
        <v>0.43990000000000001</v>
      </c>
      <c r="T2859" s="30">
        <v>1.35E-2</v>
      </c>
      <c r="U2859" s="30">
        <v>1.35E-2</v>
      </c>
      <c r="V2859" s="30">
        <v>0.23419999999999999</v>
      </c>
      <c r="W2859" s="30">
        <v>0.29060000000000002</v>
      </c>
      <c r="X2859" s="30">
        <v>0.17069999999999999</v>
      </c>
    </row>
    <row r="2860" spans="1:24" x14ac:dyDescent="0.25">
      <c r="A2860" t="s">
        <v>203</v>
      </c>
      <c r="B2860" t="s">
        <v>210</v>
      </c>
      <c r="C2860">
        <v>63</v>
      </c>
      <c r="D2860" t="s">
        <v>202</v>
      </c>
      <c r="E2860">
        <v>2625</v>
      </c>
      <c r="F2860" s="1">
        <v>1.7299999999999999E-2</v>
      </c>
      <c r="G2860" s="1">
        <v>8.2199999999999995E-2</v>
      </c>
      <c r="H2860" s="1">
        <v>3.2399999999999998E-2</v>
      </c>
      <c r="I2860" s="1">
        <v>1.9300000000000001E-2</v>
      </c>
      <c r="L2860" s="1">
        <v>2.5499999999999998E-2</v>
      </c>
      <c r="M2860" s="1">
        <v>0.50839999999999996</v>
      </c>
      <c r="N2860" s="1">
        <v>6.7999999999999996E-3</v>
      </c>
      <c r="Q2860" s="1">
        <v>4.8500000000000001E-2</v>
      </c>
      <c r="R2860" s="1">
        <v>1.3299999999999999E-2</v>
      </c>
      <c r="S2860" s="1">
        <v>1.9300000000000001E-2</v>
      </c>
      <c r="T2860" s="1">
        <v>9.8900000000000002E-2</v>
      </c>
      <c r="U2860" s="1">
        <v>7.6600000000000001E-2</v>
      </c>
      <c r="V2860" s="1">
        <v>0.30680000000000002</v>
      </c>
      <c r="W2860" s="1">
        <v>0.22700000000000001</v>
      </c>
      <c r="X2860" s="1">
        <v>0.2225</v>
      </c>
    </row>
    <row r="2861" spans="1:24" x14ac:dyDescent="0.25">
      <c r="A2861" t="s">
        <v>204</v>
      </c>
      <c r="B2861" t="s">
        <v>204</v>
      </c>
      <c r="C2861">
        <v>2625</v>
      </c>
      <c r="D2861" t="s">
        <v>204</v>
      </c>
      <c r="E2861">
        <v>2625</v>
      </c>
      <c r="F2861" s="1">
        <v>3.1300000000000001E-2</v>
      </c>
      <c r="G2861" s="1">
        <v>0.13739999999999999</v>
      </c>
      <c r="H2861" s="1">
        <v>1.72E-2</v>
      </c>
      <c r="I2861" s="1">
        <v>1.15E-2</v>
      </c>
      <c r="J2861" s="1">
        <v>6.9999999999999999E-4</v>
      </c>
      <c r="K2861" s="1">
        <v>2.3E-3</v>
      </c>
      <c r="L2861" s="1">
        <v>9.4000000000000004E-3</v>
      </c>
      <c r="M2861" s="1">
        <v>0.249</v>
      </c>
      <c r="N2861" s="1">
        <v>7.1999999999999998E-3</v>
      </c>
      <c r="O2861" s="1">
        <v>3.5999999999999999E-3</v>
      </c>
      <c r="P2861" s="1">
        <v>2.2599999999999999E-2</v>
      </c>
      <c r="Q2861" s="1">
        <v>4.6300000000000001E-2</v>
      </c>
      <c r="R2861" s="1">
        <v>1.2999999999999999E-2</v>
      </c>
      <c r="S2861" s="1">
        <v>1.4800000000000001E-2</v>
      </c>
      <c r="T2861" s="1">
        <v>8.0999999999999996E-3</v>
      </c>
      <c r="U2861" s="1">
        <v>1.7399999999999999E-2</v>
      </c>
      <c r="V2861" s="1">
        <v>0.53590000000000004</v>
      </c>
      <c r="W2861" s="1">
        <v>0.58140000000000003</v>
      </c>
      <c r="X2861" s="1">
        <v>0.5655</v>
      </c>
    </row>
    <row r="2863" spans="1:24" x14ac:dyDescent="0.25">
      <c r="A2863" t="s">
        <v>803</v>
      </c>
    </row>
    <row r="2864" spans="1:24" x14ac:dyDescent="0.25">
      <c r="A2864" t="s">
        <v>190</v>
      </c>
      <c r="B2864" t="s">
        <v>206</v>
      </c>
      <c r="C2864" t="s">
        <v>195</v>
      </c>
      <c r="D2864" t="s">
        <v>189</v>
      </c>
      <c r="E2864" t="s">
        <v>196</v>
      </c>
      <c r="F2864" t="s">
        <v>787</v>
      </c>
      <c r="G2864" t="s">
        <v>788</v>
      </c>
      <c r="H2864" t="s">
        <v>789</v>
      </c>
      <c r="I2864" t="s">
        <v>220</v>
      </c>
      <c r="J2864" t="s">
        <v>790</v>
      </c>
      <c r="K2864" t="s">
        <v>791</v>
      </c>
      <c r="L2864" t="s">
        <v>792</v>
      </c>
      <c r="M2864" t="s">
        <v>271</v>
      </c>
      <c r="N2864" t="s">
        <v>235</v>
      </c>
      <c r="O2864" t="s">
        <v>215</v>
      </c>
      <c r="P2864" t="s">
        <v>793</v>
      </c>
      <c r="Q2864" t="s">
        <v>794</v>
      </c>
      <c r="R2864" t="s">
        <v>795</v>
      </c>
      <c r="S2864" t="s">
        <v>796</v>
      </c>
      <c r="T2864" t="s">
        <v>797</v>
      </c>
      <c r="U2864" t="s">
        <v>798</v>
      </c>
      <c r="V2864" t="s">
        <v>799</v>
      </c>
      <c r="W2864" t="s">
        <v>800</v>
      </c>
      <c r="X2864" t="s">
        <v>801</v>
      </c>
    </row>
    <row r="2865" spans="1:24" x14ac:dyDescent="0.25">
      <c r="A2865" t="s">
        <v>198</v>
      </c>
      <c r="B2865" t="s">
        <v>228</v>
      </c>
      <c r="C2865">
        <v>33</v>
      </c>
      <c r="D2865" t="s">
        <v>197</v>
      </c>
      <c r="E2865">
        <v>2625</v>
      </c>
      <c r="I2865" s="1">
        <v>1.7299999999999999E-2</v>
      </c>
      <c r="L2865" s="1">
        <v>1.7299999999999999E-2</v>
      </c>
      <c r="M2865" s="1">
        <v>0.56100000000000005</v>
      </c>
      <c r="V2865" s="1">
        <v>0.33879999999999999</v>
      </c>
      <c r="W2865" s="1">
        <v>0.3962</v>
      </c>
      <c r="X2865" s="1">
        <v>0.37059999999999998</v>
      </c>
    </row>
    <row r="2866" spans="1:24" x14ac:dyDescent="0.25">
      <c r="A2866" t="s">
        <v>198</v>
      </c>
      <c r="B2866" t="s">
        <v>229</v>
      </c>
      <c r="C2866">
        <v>48</v>
      </c>
      <c r="D2866" t="s">
        <v>197</v>
      </c>
      <c r="E2866">
        <v>2625</v>
      </c>
      <c r="F2866" s="1">
        <v>2.4500000000000001E-2</v>
      </c>
      <c r="G2866" s="1">
        <v>6.8699999999999997E-2</v>
      </c>
      <c r="H2866" s="1">
        <v>1.9699999999999999E-2</v>
      </c>
      <c r="I2866" s="1">
        <v>1.3299999999999999E-2</v>
      </c>
      <c r="J2866" s="1">
        <v>1.9699999999999999E-2</v>
      </c>
      <c r="M2866" s="1">
        <v>0.36809999999999998</v>
      </c>
      <c r="Q2866" s="1">
        <v>2.4500000000000001E-2</v>
      </c>
      <c r="V2866" s="1">
        <v>0.51039999999999996</v>
      </c>
      <c r="W2866" s="1">
        <v>0.56100000000000005</v>
      </c>
      <c r="X2866" s="1">
        <v>0.5806</v>
      </c>
    </row>
    <row r="2867" spans="1:24" x14ac:dyDescent="0.25">
      <c r="A2867" t="s">
        <v>198</v>
      </c>
      <c r="B2867" t="s">
        <v>228</v>
      </c>
      <c r="C2867">
        <v>145</v>
      </c>
      <c r="D2867" t="s">
        <v>199</v>
      </c>
      <c r="E2867">
        <v>2625</v>
      </c>
      <c r="F2867" s="1">
        <v>0.12720000000000001</v>
      </c>
      <c r="G2867" s="1">
        <v>0.2727</v>
      </c>
      <c r="H2867" s="1">
        <v>7.7999999999999996E-3</v>
      </c>
      <c r="I2867" s="1">
        <v>1.11E-2</v>
      </c>
      <c r="L2867" s="1">
        <v>1.1999999999999999E-3</v>
      </c>
      <c r="M2867" s="1">
        <v>0.1782</v>
      </c>
      <c r="O2867" s="1">
        <v>3.3999999999999998E-3</v>
      </c>
      <c r="P2867" s="1">
        <v>4.8999999999999998E-3</v>
      </c>
      <c r="Q2867" s="1">
        <v>0.13830000000000001</v>
      </c>
      <c r="R2867" s="1">
        <v>1.2699999999999999E-2</v>
      </c>
      <c r="S2867" s="1">
        <v>2.8999999999999998E-3</v>
      </c>
      <c r="V2867" s="1">
        <v>0.68369999999999997</v>
      </c>
      <c r="W2867" s="1">
        <v>0.74770000000000003</v>
      </c>
      <c r="X2867" s="1">
        <v>0.72050000000000003</v>
      </c>
    </row>
    <row r="2868" spans="1:24" x14ac:dyDescent="0.25">
      <c r="A2868" t="s">
        <v>198</v>
      </c>
      <c r="B2868" t="s">
        <v>229</v>
      </c>
      <c r="C2868">
        <v>211</v>
      </c>
      <c r="D2868" t="s">
        <v>199</v>
      </c>
      <c r="E2868">
        <v>2625</v>
      </c>
      <c r="F2868" s="1">
        <v>2.53E-2</v>
      </c>
      <c r="G2868" s="1">
        <v>0.24310000000000001</v>
      </c>
      <c r="H2868" s="1">
        <v>1.01E-2</v>
      </c>
      <c r="I2868" s="1">
        <v>4.3E-3</v>
      </c>
      <c r="L2868" s="1">
        <v>3.0300000000000001E-2</v>
      </c>
      <c r="M2868" s="1">
        <v>0.1232</v>
      </c>
      <c r="N2868" s="1">
        <v>1.6999999999999999E-3</v>
      </c>
      <c r="P2868" s="1">
        <v>6.6E-3</v>
      </c>
      <c r="Q2868" s="1">
        <v>7.3999999999999996E-2</v>
      </c>
      <c r="R2868" s="1">
        <v>2.2100000000000002E-2</v>
      </c>
      <c r="S2868" s="1">
        <v>4.1300000000000003E-2</v>
      </c>
      <c r="T2868" s="1">
        <v>2.7000000000000001E-3</v>
      </c>
      <c r="V2868" s="1">
        <v>0.70379999999999998</v>
      </c>
      <c r="W2868" s="1">
        <v>0.75019999999999998</v>
      </c>
      <c r="X2868" s="1">
        <v>0.70720000000000005</v>
      </c>
    </row>
    <row r="2869" spans="1:24" x14ac:dyDescent="0.25">
      <c r="A2869" t="s">
        <v>198</v>
      </c>
      <c r="B2869" t="s">
        <v>229</v>
      </c>
      <c r="C2869">
        <v>270</v>
      </c>
      <c r="D2869" t="s">
        <v>200</v>
      </c>
      <c r="E2869">
        <v>2625</v>
      </c>
      <c r="F2869" s="1">
        <v>1.7100000000000001E-2</v>
      </c>
      <c r="G2869" s="1">
        <v>6.93E-2</v>
      </c>
      <c r="H2869" s="1">
        <v>7.3000000000000001E-3</v>
      </c>
      <c r="I2869" s="1">
        <v>2.7199999999999998E-2</v>
      </c>
      <c r="K2869" s="1">
        <v>1E-4</v>
      </c>
      <c r="L2869" s="1">
        <v>8.8999999999999999E-3</v>
      </c>
      <c r="M2869" s="1">
        <v>0.29349999999999998</v>
      </c>
      <c r="N2869" s="1">
        <v>3.0999999999999999E-3</v>
      </c>
      <c r="O2869" s="1">
        <v>6.0000000000000001E-3</v>
      </c>
      <c r="P2869" s="1">
        <v>1.9800000000000002E-2</v>
      </c>
      <c r="Q2869" s="1">
        <v>4.1399999999999999E-2</v>
      </c>
      <c r="R2869" s="1">
        <v>6.8999999999999999E-3</v>
      </c>
      <c r="S2869" s="1">
        <v>6.0000000000000001E-3</v>
      </c>
      <c r="U2869" s="1">
        <v>5.4000000000000003E-3</v>
      </c>
      <c r="V2869" s="1">
        <v>0.49299999999999999</v>
      </c>
      <c r="W2869" s="1">
        <v>0.54249999999999998</v>
      </c>
      <c r="X2869" s="1">
        <v>0.53959999999999997</v>
      </c>
    </row>
    <row r="2870" spans="1:24" x14ac:dyDescent="0.25">
      <c r="A2870" t="s">
        <v>198</v>
      </c>
      <c r="B2870" t="s">
        <v>228</v>
      </c>
      <c r="C2870">
        <v>110</v>
      </c>
      <c r="D2870" t="s">
        <v>200</v>
      </c>
      <c r="E2870">
        <v>2625</v>
      </c>
      <c r="G2870" s="1">
        <v>1.9800000000000002E-2</v>
      </c>
      <c r="H2870" s="1">
        <v>2.01E-2</v>
      </c>
      <c r="I2870" s="1">
        <v>1.38E-2</v>
      </c>
      <c r="M2870" s="1">
        <v>0.47120000000000001</v>
      </c>
      <c r="P2870" s="1">
        <v>4.02E-2</v>
      </c>
      <c r="V2870" s="1">
        <v>0.37959999999999999</v>
      </c>
      <c r="W2870" s="1">
        <v>0.42449999999999999</v>
      </c>
      <c r="X2870" s="1">
        <v>0.3992</v>
      </c>
    </row>
    <row r="2871" spans="1:24" x14ac:dyDescent="0.25">
      <c r="A2871" t="s">
        <v>198</v>
      </c>
      <c r="B2871" t="s">
        <v>228</v>
      </c>
      <c r="C2871">
        <v>94</v>
      </c>
      <c r="D2871" t="s">
        <v>201</v>
      </c>
      <c r="E2871">
        <v>2625</v>
      </c>
      <c r="G2871" s="1">
        <v>2.86E-2</v>
      </c>
      <c r="I2871" s="1">
        <v>2.81E-2</v>
      </c>
      <c r="L2871" s="1">
        <v>1.5E-3</v>
      </c>
      <c r="M2871" s="1">
        <v>0.42130000000000001</v>
      </c>
      <c r="P2871" s="1">
        <v>1.17E-2</v>
      </c>
      <c r="Q2871" s="1">
        <v>1.52E-2</v>
      </c>
      <c r="V2871" s="1">
        <v>0.42520000000000002</v>
      </c>
      <c r="W2871" s="1">
        <v>0.48849999999999999</v>
      </c>
      <c r="X2871" s="1">
        <v>0.49440000000000001</v>
      </c>
    </row>
    <row r="2872" spans="1:24" x14ac:dyDescent="0.25">
      <c r="A2872" t="s">
        <v>198</v>
      </c>
      <c r="B2872" t="s">
        <v>229</v>
      </c>
      <c r="C2872">
        <v>155</v>
      </c>
      <c r="D2872" t="s">
        <v>201</v>
      </c>
      <c r="E2872">
        <v>2625</v>
      </c>
      <c r="F2872" s="1">
        <v>1.9400000000000001E-2</v>
      </c>
      <c r="G2872" s="1">
        <v>4.7399999999999998E-2</v>
      </c>
      <c r="I2872" s="1">
        <v>1.29E-2</v>
      </c>
      <c r="L2872" s="1">
        <v>1.2999999999999999E-3</v>
      </c>
      <c r="M2872" s="1">
        <v>0.1633</v>
      </c>
      <c r="P2872" s="1">
        <v>1.29E-2</v>
      </c>
      <c r="Q2872" s="1">
        <v>1.72E-2</v>
      </c>
      <c r="R2872" s="1">
        <v>3.0599999999999999E-2</v>
      </c>
      <c r="S2872" s="1">
        <v>1.61E-2</v>
      </c>
      <c r="T2872" s="1">
        <v>1.66E-2</v>
      </c>
      <c r="U2872" s="1">
        <v>1.8200000000000001E-2</v>
      </c>
      <c r="V2872" s="1">
        <v>0.67800000000000005</v>
      </c>
      <c r="W2872" s="1">
        <v>0.70030000000000003</v>
      </c>
      <c r="X2872" s="1">
        <v>0.67049999999999998</v>
      </c>
    </row>
    <row r="2873" spans="1:24" s="29" customFormat="1" x14ac:dyDescent="0.25">
      <c r="A2873" s="29" t="s">
        <v>198</v>
      </c>
      <c r="B2873" s="29" t="s">
        <v>228</v>
      </c>
      <c r="C2873" s="29">
        <v>28</v>
      </c>
      <c r="D2873" s="29" t="s">
        <v>202</v>
      </c>
      <c r="E2873" s="29">
        <v>2625</v>
      </c>
      <c r="F2873" s="30">
        <v>4.0099999999999997E-2</v>
      </c>
      <c r="G2873" s="30">
        <v>9.0999999999999998E-2</v>
      </c>
      <c r="H2873" s="30">
        <v>6.83E-2</v>
      </c>
      <c r="I2873" s="30">
        <v>0.1067</v>
      </c>
      <c r="L2873" s="30">
        <v>2.1499999999999998E-2</v>
      </c>
      <c r="M2873" s="30">
        <v>0.28349999999999997</v>
      </c>
      <c r="O2873" s="30">
        <v>0.11749999999999999</v>
      </c>
      <c r="T2873" s="30">
        <v>6.83E-2</v>
      </c>
      <c r="U2873" s="30">
        <v>6.83E-2</v>
      </c>
      <c r="V2873" s="30">
        <v>0.1192</v>
      </c>
      <c r="W2873" s="30">
        <v>0.25480000000000003</v>
      </c>
      <c r="X2873" s="30">
        <v>0.32219999999999999</v>
      </c>
    </row>
    <row r="2874" spans="1:24" x14ac:dyDescent="0.25">
      <c r="A2874" t="s">
        <v>198</v>
      </c>
      <c r="B2874" t="s">
        <v>229</v>
      </c>
      <c r="C2874">
        <v>68</v>
      </c>
      <c r="D2874" t="s">
        <v>202</v>
      </c>
      <c r="E2874">
        <v>2625</v>
      </c>
      <c r="G2874" s="1">
        <v>4.5499999999999999E-2</v>
      </c>
      <c r="H2874" s="1">
        <v>6.4100000000000004E-2</v>
      </c>
      <c r="I2874" s="1">
        <v>6.6E-3</v>
      </c>
      <c r="M2874" s="1">
        <v>0.33979999999999999</v>
      </c>
      <c r="R2874" s="1">
        <v>1.0500000000000001E-2</v>
      </c>
      <c r="S2874" s="1">
        <v>6.6E-3</v>
      </c>
      <c r="T2874" s="1">
        <v>0.02</v>
      </c>
      <c r="V2874" s="1">
        <v>0.43359999999999999</v>
      </c>
      <c r="W2874" s="1">
        <v>0.46129999999999999</v>
      </c>
      <c r="X2874" s="1">
        <v>0.49540000000000001</v>
      </c>
    </row>
    <row r="2875" spans="1:24" x14ac:dyDescent="0.25">
      <c r="A2875" t="s">
        <v>203</v>
      </c>
      <c r="B2875" t="s">
        <v>229</v>
      </c>
      <c r="C2875">
        <v>370</v>
      </c>
      <c r="D2875" t="s">
        <v>199</v>
      </c>
      <c r="E2875">
        <v>2625</v>
      </c>
      <c r="F2875" s="1">
        <v>5.11E-2</v>
      </c>
      <c r="G2875" s="1">
        <v>0.2167</v>
      </c>
      <c r="H2875" s="1">
        <v>3.0999999999999999E-3</v>
      </c>
      <c r="I2875" s="1">
        <v>5.1999999999999998E-3</v>
      </c>
      <c r="K2875" s="1">
        <v>1.01E-2</v>
      </c>
      <c r="L2875" s="1">
        <v>1.9400000000000001E-2</v>
      </c>
      <c r="M2875" s="1">
        <v>4.3099999999999999E-2</v>
      </c>
      <c r="N2875" s="1">
        <v>5.0000000000000001E-4</v>
      </c>
      <c r="P2875" s="1">
        <v>3.6299999999999999E-2</v>
      </c>
      <c r="Q2875" s="1">
        <v>8.8900000000000007E-2</v>
      </c>
      <c r="R2875" s="1">
        <v>4.1000000000000002E-2</v>
      </c>
      <c r="S2875" s="1">
        <v>1.9400000000000001E-2</v>
      </c>
      <c r="U2875" s="1">
        <v>4.2999999999999997E-2</v>
      </c>
      <c r="V2875" s="1">
        <v>0.87</v>
      </c>
      <c r="W2875" s="1">
        <v>0.90620000000000001</v>
      </c>
      <c r="X2875" s="1">
        <v>0.84989999999999999</v>
      </c>
    </row>
    <row r="2876" spans="1:24" x14ac:dyDescent="0.25">
      <c r="A2876" t="s">
        <v>203</v>
      </c>
      <c r="B2876" t="s">
        <v>228</v>
      </c>
      <c r="C2876">
        <v>150</v>
      </c>
      <c r="D2876" t="s">
        <v>199</v>
      </c>
      <c r="E2876">
        <v>2625</v>
      </c>
      <c r="F2876" s="1">
        <v>8.0699999999999994E-2</v>
      </c>
      <c r="G2876" s="1">
        <v>0.1137</v>
      </c>
      <c r="H2876" s="1">
        <v>4.8999999999999998E-3</v>
      </c>
      <c r="I2876" s="1">
        <v>6.7000000000000002E-3</v>
      </c>
      <c r="K2876" s="1">
        <v>8.0699999999999994E-2</v>
      </c>
      <c r="L2876" s="1">
        <v>4.8999999999999998E-3</v>
      </c>
      <c r="M2876" s="1">
        <v>0.12139999999999999</v>
      </c>
      <c r="P2876" s="1">
        <v>2.18E-2</v>
      </c>
      <c r="Q2876" s="1">
        <v>9.9199999999999997E-2</v>
      </c>
      <c r="R2876" s="1">
        <v>8.8000000000000005E-3</v>
      </c>
      <c r="S2876" s="1">
        <v>2.3400000000000001E-2</v>
      </c>
      <c r="V2876" s="1">
        <v>0.73509999999999998</v>
      </c>
      <c r="W2876" s="1">
        <v>0.77249999999999996</v>
      </c>
      <c r="X2876" s="1">
        <v>0.74050000000000005</v>
      </c>
    </row>
    <row r="2877" spans="1:24" x14ac:dyDescent="0.25">
      <c r="A2877" t="s">
        <v>203</v>
      </c>
      <c r="B2877" t="s">
        <v>229</v>
      </c>
      <c r="C2877">
        <v>346</v>
      </c>
      <c r="D2877" t="s">
        <v>200</v>
      </c>
      <c r="E2877">
        <v>2625</v>
      </c>
      <c r="F2877" s="1">
        <v>3.09E-2</v>
      </c>
      <c r="G2877" s="1">
        <v>0.1419</v>
      </c>
      <c r="H2877" s="1">
        <v>2.2700000000000001E-2</v>
      </c>
      <c r="I2877" s="1">
        <v>8.9999999999999998E-4</v>
      </c>
      <c r="L2877" s="1">
        <v>2.5000000000000001E-3</v>
      </c>
      <c r="M2877" s="1">
        <v>0.26369999999999999</v>
      </c>
      <c r="N2877" s="1">
        <v>2.1299999999999999E-2</v>
      </c>
      <c r="O2877" s="1">
        <v>5.9999999999999995E-4</v>
      </c>
      <c r="P2877" s="1">
        <v>2.9700000000000001E-2</v>
      </c>
      <c r="Q2877" s="1">
        <v>4.0099999999999997E-2</v>
      </c>
      <c r="R2877" s="1">
        <v>7.0000000000000001E-3</v>
      </c>
      <c r="S2877" s="1">
        <v>1.0200000000000001E-2</v>
      </c>
      <c r="U2877" s="1">
        <v>1.8599999999999998E-2</v>
      </c>
      <c r="V2877" s="1">
        <v>0.43059999999999998</v>
      </c>
      <c r="W2877" s="1">
        <v>0.48070000000000002</v>
      </c>
      <c r="X2877" s="1">
        <v>0.5</v>
      </c>
    </row>
    <row r="2878" spans="1:24" x14ac:dyDescent="0.25">
      <c r="A2878" t="s">
        <v>203</v>
      </c>
      <c r="B2878" t="s">
        <v>228</v>
      </c>
      <c r="C2878">
        <v>155</v>
      </c>
      <c r="D2878" t="s">
        <v>200</v>
      </c>
      <c r="E2878">
        <v>2625</v>
      </c>
      <c r="F2878" s="1">
        <v>1.0200000000000001E-2</v>
      </c>
      <c r="G2878" s="1">
        <v>9.8799999999999999E-2</v>
      </c>
      <c r="H2878" s="1">
        <v>2.0999999999999999E-3</v>
      </c>
      <c r="I2878" s="1">
        <v>4.1999999999999997E-3</v>
      </c>
      <c r="L2878" s="1">
        <v>2.5000000000000001E-3</v>
      </c>
      <c r="M2878" s="1">
        <v>0.31540000000000001</v>
      </c>
      <c r="N2878" s="1">
        <v>1.32E-2</v>
      </c>
      <c r="P2878" s="1">
        <v>8.6400000000000005E-2</v>
      </c>
      <c r="Q2878" s="1">
        <v>6.9400000000000003E-2</v>
      </c>
      <c r="R2878" s="1">
        <v>2.7000000000000001E-3</v>
      </c>
      <c r="S2878" s="1">
        <v>2.1899999999999999E-2</v>
      </c>
      <c r="U2878" s="1">
        <v>3.3599999999999998E-2</v>
      </c>
      <c r="V2878" s="1">
        <v>0.38250000000000001</v>
      </c>
      <c r="W2878" s="1">
        <v>0.51719999999999999</v>
      </c>
      <c r="X2878" s="1">
        <v>0.47199999999999998</v>
      </c>
    </row>
    <row r="2879" spans="1:24" x14ac:dyDescent="0.25">
      <c r="A2879" t="s">
        <v>203</v>
      </c>
      <c r="B2879" t="s">
        <v>229</v>
      </c>
      <c r="C2879">
        <v>136</v>
      </c>
      <c r="D2879" t="s">
        <v>201</v>
      </c>
      <c r="E2879">
        <v>2625</v>
      </c>
      <c r="F2879" s="1">
        <v>0.1056</v>
      </c>
      <c r="G2879" s="1">
        <v>0.313</v>
      </c>
      <c r="I2879" s="1">
        <v>7.1999999999999998E-3</v>
      </c>
      <c r="L2879" s="1">
        <v>1.5E-3</v>
      </c>
      <c r="M2879" s="1">
        <v>5.7000000000000002E-2</v>
      </c>
      <c r="N2879" s="1">
        <v>8.0000000000000004E-4</v>
      </c>
      <c r="P2879" s="1">
        <v>8.0000000000000002E-3</v>
      </c>
      <c r="Q2879" s="1">
        <v>3.5000000000000003E-2</v>
      </c>
      <c r="R2879" s="1">
        <v>1.83E-2</v>
      </c>
      <c r="S2879" s="1">
        <v>4.5400000000000003E-2</v>
      </c>
      <c r="T2879" s="1">
        <v>1.0699999999999999E-2</v>
      </c>
      <c r="U2879" s="1">
        <v>1.5E-3</v>
      </c>
      <c r="V2879" s="1">
        <v>0.79510000000000003</v>
      </c>
      <c r="W2879" s="1">
        <v>0.77590000000000003</v>
      </c>
      <c r="X2879" s="1">
        <v>0.68279999999999996</v>
      </c>
    </row>
    <row r="2880" spans="1:24" x14ac:dyDescent="0.25">
      <c r="A2880" t="s">
        <v>203</v>
      </c>
      <c r="B2880" t="s">
        <v>228</v>
      </c>
      <c r="C2880">
        <v>177</v>
      </c>
      <c r="D2880" t="s">
        <v>201</v>
      </c>
      <c r="E2880">
        <v>2625</v>
      </c>
      <c r="G2880" s="1">
        <v>5.4100000000000002E-2</v>
      </c>
      <c r="I2880" s="1">
        <v>1.6000000000000001E-3</v>
      </c>
      <c r="L2880" s="1">
        <v>8.6999999999999994E-3</v>
      </c>
      <c r="M2880" s="1">
        <v>0.15390000000000001</v>
      </c>
      <c r="N2880" s="1">
        <v>5.7999999999999996E-3</v>
      </c>
      <c r="O2880" s="1">
        <v>6.1000000000000004E-3</v>
      </c>
      <c r="P2880" s="1">
        <v>6.3399999999999998E-2</v>
      </c>
      <c r="Q2880" s="1">
        <v>2.5700000000000001E-2</v>
      </c>
      <c r="S2880" s="1">
        <v>2.0799999999999999E-2</v>
      </c>
      <c r="V2880" s="1">
        <v>0.69210000000000005</v>
      </c>
      <c r="W2880" s="1">
        <v>0.75849999999999995</v>
      </c>
      <c r="X2880" s="1">
        <v>0.57330000000000003</v>
      </c>
    </row>
    <row r="2881" spans="1:24" x14ac:dyDescent="0.25">
      <c r="A2881" t="s">
        <v>203</v>
      </c>
      <c r="B2881" t="s">
        <v>228</v>
      </c>
      <c r="C2881">
        <v>34</v>
      </c>
      <c r="D2881" t="s">
        <v>202</v>
      </c>
      <c r="E2881">
        <v>2625</v>
      </c>
      <c r="G2881" s="1">
        <v>0.14799999999999999</v>
      </c>
      <c r="I2881" s="1">
        <v>5.3699999999999998E-2</v>
      </c>
      <c r="M2881" s="1">
        <v>0.43509999999999999</v>
      </c>
      <c r="N2881" s="1">
        <v>1.7500000000000002E-2</v>
      </c>
      <c r="S2881" s="1">
        <v>3.6200000000000003E-2</v>
      </c>
      <c r="T2881" s="1">
        <v>1.32E-2</v>
      </c>
      <c r="U2881" s="1">
        <v>1.32E-2</v>
      </c>
      <c r="V2881" s="1">
        <v>0.30649999999999999</v>
      </c>
      <c r="W2881" s="1">
        <v>0.20480000000000001</v>
      </c>
      <c r="X2881" s="1">
        <v>0.16059999999999999</v>
      </c>
    </row>
    <row r="2882" spans="1:24" x14ac:dyDescent="0.25">
      <c r="A2882" t="s">
        <v>203</v>
      </c>
      <c r="B2882" t="s">
        <v>229</v>
      </c>
      <c r="C2882">
        <v>56</v>
      </c>
      <c r="D2882" t="s">
        <v>202</v>
      </c>
      <c r="E2882">
        <v>2625</v>
      </c>
      <c r="F2882" s="1">
        <v>2.9700000000000001E-2</v>
      </c>
      <c r="G2882" s="1">
        <v>0.15359999999999999</v>
      </c>
      <c r="H2882" s="1">
        <v>4.4900000000000002E-2</v>
      </c>
      <c r="I2882" s="1">
        <v>1.95E-2</v>
      </c>
      <c r="L2882" s="1">
        <v>3.7999999999999999E-2</v>
      </c>
      <c r="M2882" s="1">
        <v>0.51090000000000002</v>
      </c>
      <c r="Q2882" s="1">
        <v>4.8899999999999999E-2</v>
      </c>
      <c r="R2882" s="1">
        <v>1.35E-2</v>
      </c>
      <c r="S2882" s="1">
        <v>5.1999999999999998E-3</v>
      </c>
      <c r="T2882" s="1">
        <v>9.98E-2</v>
      </c>
      <c r="U2882" s="1">
        <v>7.7299999999999994E-2</v>
      </c>
      <c r="V2882" s="1">
        <v>0.27900000000000003</v>
      </c>
      <c r="W2882" s="1">
        <v>0.26019999999999999</v>
      </c>
      <c r="X2882" s="1">
        <v>0.22700000000000001</v>
      </c>
    </row>
    <row r="2883" spans="1:24" x14ac:dyDescent="0.25">
      <c r="A2883" t="s">
        <v>204</v>
      </c>
      <c r="B2883" t="s">
        <v>204</v>
      </c>
      <c r="C2883">
        <v>2625</v>
      </c>
      <c r="D2883" t="s">
        <v>204</v>
      </c>
      <c r="E2883">
        <v>2625</v>
      </c>
      <c r="F2883" s="1">
        <v>3.1300000000000001E-2</v>
      </c>
      <c r="G2883" s="1">
        <v>0.13739999999999999</v>
      </c>
      <c r="H2883" s="1">
        <v>1.72E-2</v>
      </c>
      <c r="I2883" s="1">
        <v>1.15E-2</v>
      </c>
      <c r="J2883" s="1">
        <v>6.9999999999999999E-4</v>
      </c>
      <c r="K2883" s="1">
        <v>2.3E-3</v>
      </c>
      <c r="L2883" s="1">
        <v>9.4000000000000004E-3</v>
      </c>
      <c r="M2883" s="1">
        <v>0.249</v>
      </c>
      <c r="N2883" s="1">
        <v>7.1999999999999998E-3</v>
      </c>
      <c r="O2883" s="1">
        <v>3.5999999999999999E-3</v>
      </c>
      <c r="P2883" s="1">
        <v>2.2599999999999999E-2</v>
      </c>
      <c r="Q2883" s="1">
        <v>4.6300000000000001E-2</v>
      </c>
      <c r="R2883" s="1">
        <v>1.2999999999999999E-2</v>
      </c>
      <c r="S2883" s="1">
        <v>1.4800000000000001E-2</v>
      </c>
      <c r="T2883" s="1">
        <v>8.0999999999999996E-3</v>
      </c>
      <c r="U2883" s="1">
        <v>1.7399999999999999E-2</v>
      </c>
      <c r="V2883" s="1">
        <v>0.53590000000000004</v>
      </c>
      <c r="W2883" s="1">
        <v>0.58140000000000003</v>
      </c>
      <c r="X2883" s="1">
        <v>0.5655</v>
      </c>
    </row>
    <row r="2885" spans="1:24" x14ac:dyDescent="0.25">
      <c r="A2885" t="s">
        <v>804</v>
      </c>
    </row>
    <row r="2886" spans="1:24" x14ac:dyDescent="0.25">
      <c r="A2886" t="s">
        <v>190</v>
      </c>
      <c r="B2886" t="s">
        <v>206</v>
      </c>
      <c r="C2886" t="s">
        <v>195</v>
      </c>
      <c r="D2886" t="s">
        <v>189</v>
      </c>
      <c r="E2886" t="s">
        <v>196</v>
      </c>
      <c r="F2886" t="s">
        <v>787</v>
      </c>
      <c r="G2886" t="s">
        <v>788</v>
      </c>
      <c r="H2886" t="s">
        <v>789</v>
      </c>
      <c r="I2886" t="s">
        <v>220</v>
      </c>
      <c r="J2886" t="s">
        <v>790</v>
      </c>
      <c r="K2886" t="s">
        <v>791</v>
      </c>
      <c r="L2886" t="s">
        <v>792</v>
      </c>
      <c r="M2886" t="s">
        <v>271</v>
      </c>
      <c r="N2886" t="s">
        <v>235</v>
      </c>
      <c r="O2886" t="s">
        <v>215</v>
      </c>
      <c r="P2886" t="s">
        <v>793</v>
      </c>
      <c r="Q2886" t="s">
        <v>794</v>
      </c>
      <c r="R2886" t="s">
        <v>795</v>
      </c>
      <c r="S2886" t="s">
        <v>796</v>
      </c>
      <c r="T2886" t="s">
        <v>797</v>
      </c>
      <c r="U2886" t="s">
        <v>798</v>
      </c>
      <c r="V2886" t="s">
        <v>799</v>
      </c>
      <c r="W2886" t="s">
        <v>800</v>
      </c>
      <c r="X2886" t="s">
        <v>801</v>
      </c>
    </row>
    <row r="2887" spans="1:24" x14ac:dyDescent="0.25">
      <c r="A2887" t="s">
        <v>198</v>
      </c>
      <c r="B2887" t="s">
        <v>348</v>
      </c>
      <c r="C2887">
        <v>78</v>
      </c>
      <c r="D2887" t="s">
        <v>197</v>
      </c>
      <c r="E2887">
        <v>2625</v>
      </c>
      <c r="F2887" s="1">
        <v>1.43E-2</v>
      </c>
      <c r="G2887" s="1">
        <v>4.02E-2</v>
      </c>
      <c r="H2887" s="1">
        <v>1.15E-2</v>
      </c>
      <c r="I2887" s="1">
        <v>1.5599999999999999E-2</v>
      </c>
      <c r="J2887" s="1">
        <v>1.15E-2</v>
      </c>
      <c r="L2887" s="1">
        <v>7.7999999999999996E-3</v>
      </c>
      <c r="M2887" s="1">
        <v>0.45610000000000001</v>
      </c>
      <c r="Q2887" s="1">
        <v>1.43E-2</v>
      </c>
      <c r="V2887" s="1">
        <v>0.42780000000000001</v>
      </c>
      <c r="W2887" s="1">
        <v>0.48309999999999997</v>
      </c>
      <c r="X2887" s="1">
        <v>0.49459999999999998</v>
      </c>
    </row>
    <row r="2888" spans="1:24" s="29" customFormat="1" x14ac:dyDescent="0.25">
      <c r="A2888" s="29" t="s">
        <v>198</v>
      </c>
      <c r="B2888" s="29" t="s">
        <v>349</v>
      </c>
      <c r="C2888" s="29">
        <v>3</v>
      </c>
      <c r="D2888" s="29" t="s">
        <v>197</v>
      </c>
      <c r="E2888" s="29">
        <v>2625</v>
      </c>
      <c r="M2888" s="30">
        <v>0.33329999999999999</v>
      </c>
      <c r="V2888" s="30">
        <v>0.66669999999999996</v>
      </c>
      <c r="W2888" s="30">
        <v>0.66669999999999996</v>
      </c>
      <c r="X2888" s="30">
        <v>0.33329999999999999</v>
      </c>
    </row>
    <row r="2889" spans="1:24" x14ac:dyDescent="0.25">
      <c r="A2889" t="s">
        <v>198</v>
      </c>
      <c r="B2889" t="s">
        <v>348</v>
      </c>
      <c r="C2889">
        <v>54</v>
      </c>
      <c r="D2889" t="s">
        <v>199</v>
      </c>
      <c r="E2889">
        <v>2625</v>
      </c>
      <c r="F2889" s="1">
        <v>3.8E-3</v>
      </c>
      <c r="G2889" s="1">
        <v>0.30370000000000003</v>
      </c>
      <c r="L2889" s="1">
        <v>0.14269999999999999</v>
      </c>
      <c r="M2889" s="1">
        <v>0.12920000000000001</v>
      </c>
      <c r="Q2889" s="1">
        <v>1.3599999999999999E-2</v>
      </c>
      <c r="R2889" s="1">
        <v>7.1400000000000005E-2</v>
      </c>
      <c r="S2889" s="1">
        <v>7.1400000000000005E-2</v>
      </c>
      <c r="V2889" s="1">
        <v>0.6835</v>
      </c>
      <c r="W2889" s="1">
        <v>0.71830000000000005</v>
      </c>
      <c r="X2889" s="1">
        <v>0.62519999999999998</v>
      </c>
    </row>
    <row r="2890" spans="1:24" x14ac:dyDescent="0.25">
      <c r="A2890" t="s">
        <v>198</v>
      </c>
      <c r="B2890" t="s">
        <v>349</v>
      </c>
      <c r="C2890">
        <v>111</v>
      </c>
      <c r="D2890" t="s">
        <v>199</v>
      </c>
      <c r="E2890">
        <v>2625</v>
      </c>
      <c r="F2890" s="1">
        <v>0.1119</v>
      </c>
      <c r="G2890" s="1">
        <v>0.2382</v>
      </c>
      <c r="H2890" s="1">
        <v>1.6500000000000001E-2</v>
      </c>
      <c r="I2890" s="1">
        <v>1.6999999999999999E-3</v>
      </c>
      <c r="L2890" s="1">
        <v>3.8999999999999998E-3</v>
      </c>
      <c r="M2890" s="1">
        <v>0.21110000000000001</v>
      </c>
      <c r="O2890" s="1">
        <v>2E-3</v>
      </c>
      <c r="P2890" s="1">
        <v>5.7999999999999996E-3</v>
      </c>
      <c r="Q2890" s="1">
        <v>0.1138</v>
      </c>
      <c r="R2890" s="1">
        <v>8.3000000000000001E-3</v>
      </c>
      <c r="S2890" s="1">
        <v>3.9600000000000003E-2</v>
      </c>
      <c r="V2890" s="1">
        <v>0.58530000000000004</v>
      </c>
      <c r="W2890" s="1">
        <v>0.62039999999999995</v>
      </c>
      <c r="X2890" s="1">
        <v>0.58530000000000004</v>
      </c>
    </row>
    <row r="2891" spans="1:24" x14ac:dyDescent="0.25">
      <c r="A2891" t="s">
        <v>198</v>
      </c>
      <c r="B2891" t="s">
        <v>350</v>
      </c>
      <c r="C2891">
        <v>191</v>
      </c>
      <c r="D2891" t="s">
        <v>199</v>
      </c>
      <c r="E2891">
        <v>2625</v>
      </c>
      <c r="F2891" s="1">
        <v>8.0000000000000004E-4</v>
      </c>
      <c r="G2891" s="1">
        <v>0.2467</v>
      </c>
      <c r="H2891" s="1">
        <v>5.0000000000000001E-3</v>
      </c>
      <c r="I2891" s="1">
        <v>1.3100000000000001E-2</v>
      </c>
      <c r="L2891" s="1">
        <v>2.5999999999999999E-3</v>
      </c>
      <c r="M2891" s="1">
        <v>5.8000000000000003E-2</v>
      </c>
      <c r="N2891" s="1">
        <v>3.0999999999999999E-3</v>
      </c>
      <c r="P2891" s="1">
        <v>8.6E-3</v>
      </c>
      <c r="Q2891" s="1">
        <v>9.1300000000000006E-2</v>
      </c>
      <c r="R2891" s="1">
        <v>1.46E-2</v>
      </c>
      <c r="S2891" s="1">
        <v>8.3999999999999995E-3</v>
      </c>
      <c r="T2891" s="1">
        <v>5.0000000000000001E-3</v>
      </c>
      <c r="V2891" s="1">
        <v>0.83040000000000003</v>
      </c>
      <c r="W2891" s="1">
        <v>0.90469999999999995</v>
      </c>
      <c r="X2891" s="1">
        <v>0.88029999999999997</v>
      </c>
    </row>
    <row r="2892" spans="1:24" x14ac:dyDescent="0.25">
      <c r="A2892" t="s">
        <v>198</v>
      </c>
      <c r="B2892" t="s">
        <v>350</v>
      </c>
      <c r="C2892">
        <v>78</v>
      </c>
      <c r="D2892" t="s">
        <v>200</v>
      </c>
      <c r="E2892">
        <v>2625</v>
      </c>
      <c r="F2892" s="1">
        <v>1.35E-2</v>
      </c>
      <c r="G2892" s="1">
        <v>6.59E-2</v>
      </c>
      <c r="H2892" s="1">
        <v>1.35E-2</v>
      </c>
      <c r="I2892" s="1">
        <v>7.5499999999999998E-2</v>
      </c>
      <c r="L2892" s="1">
        <v>1.2699999999999999E-2</v>
      </c>
      <c r="M2892" s="1">
        <v>0.14319999999999999</v>
      </c>
      <c r="P2892" s="1">
        <v>4.24E-2</v>
      </c>
      <c r="V2892" s="1">
        <v>0.66690000000000005</v>
      </c>
      <c r="W2892" s="1">
        <v>0.72230000000000005</v>
      </c>
      <c r="X2892" s="1">
        <v>0.60660000000000003</v>
      </c>
    </row>
    <row r="2893" spans="1:24" x14ac:dyDescent="0.25">
      <c r="A2893" t="s">
        <v>198</v>
      </c>
      <c r="B2893" t="s">
        <v>348</v>
      </c>
      <c r="C2893">
        <v>241</v>
      </c>
      <c r="D2893" t="s">
        <v>200</v>
      </c>
      <c r="E2893">
        <v>2625</v>
      </c>
      <c r="F2893" s="1">
        <v>1.4E-2</v>
      </c>
      <c r="G2893" s="1">
        <v>6.0100000000000001E-2</v>
      </c>
      <c r="H2893" s="1">
        <v>1.06E-2</v>
      </c>
      <c r="I2893" s="1">
        <v>2.12E-2</v>
      </c>
      <c r="L2893" s="1">
        <v>6.7999999999999996E-3</v>
      </c>
      <c r="M2893" s="1">
        <v>0.35449999999999998</v>
      </c>
      <c r="O2893" s="1">
        <v>5.3E-3</v>
      </c>
      <c r="P2893" s="1">
        <v>2.1299999999999999E-2</v>
      </c>
      <c r="Q2893" s="1">
        <v>3.5499999999999997E-2</v>
      </c>
      <c r="R2893" s="1">
        <v>5.3E-3</v>
      </c>
      <c r="S2893" s="1">
        <v>5.3E-3</v>
      </c>
      <c r="U2893" s="1">
        <v>4.7999999999999996E-3</v>
      </c>
      <c r="V2893" s="1">
        <v>0.45950000000000002</v>
      </c>
      <c r="W2893" s="1">
        <v>0.50209999999999999</v>
      </c>
      <c r="X2893" s="1">
        <v>0.49320000000000003</v>
      </c>
    </row>
    <row r="2894" spans="1:24" x14ac:dyDescent="0.25">
      <c r="A2894" t="s">
        <v>198</v>
      </c>
      <c r="B2894" t="s">
        <v>349</v>
      </c>
      <c r="C2894">
        <v>61</v>
      </c>
      <c r="D2894" t="s">
        <v>200</v>
      </c>
      <c r="E2894">
        <v>2625</v>
      </c>
      <c r="G2894" s="1">
        <v>1.4E-2</v>
      </c>
      <c r="I2894" s="1">
        <v>3.3999999999999998E-3</v>
      </c>
      <c r="K2894" s="1">
        <v>1.6999999999999999E-3</v>
      </c>
      <c r="M2894" s="1">
        <v>0.27079999999999999</v>
      </c>
      <c r="N2894" s="1">
        <v>4.1300000000000003E-2</v>
      </c>
      <c r="P2894" s="1">
        <v>5.0599999999999999E-2</v>
      </c>
      <c r="Q2894" s="1">
        <v>1.5699999999999999E-2</v>
      </c>
      <c r="R2894" s="1">
        <v>1.09E-2</v>
      </c>
      <c r="V2894" s="1">
        <v>0.3296</v>
      </c>
      <c r="W2894" s="1">
        <v>0.45700000000000002</v>
      </c>
      <c r="X2894" s="1">
        <v>0.59440000000000004</v>
      </c>
    </row>
    <row r="2895" spans="1:24" x14ac:dyDescent="0.25">
      <c r="A2895" t="s">
        <v>198</v>
      </c>
      <c r="B2895" t="s">
        <v>349</v>
      </c>
      <c r="C2895">
        <v>125</v>
      </c>
      <c r="D2895" t="s">
        <v>201</v>
      </c>
      <c r="E2895">
        <v>2625</v>
      </c>
      <c r="F2895" s="1">
        <v>1.3599999999999999E-2</v>
      </c>
      <c r="G2895" s="1">
        <v>3.9300000000000002E-2</v>
      </c>
      <c r="I2895" s="1">
        <v>1.41E-2</v>
      </c>
      <c r="L2895" s="1">
        <v>5.0000000000000001E-4</v>
      </c>
      <c r="M2895" s="1">
        <v>0.1162</v>
      </c>
      <c r="P2895" s="1">
        <v>1.54E-2</v>
      </c>
      <c r="Q2895" s="1">
        <v>5.5999999999999999E-3</v>
      </c>
      <c r="R2895" s="1">
        <v>1.8800000000000001E-2</v>
      </c>
      <c r="S2895" s="1">
        <v>5.1999999999999998E-3</v>
      </c>
      <c r="T2895" s="1">
        <v>1.8800000000000001E-2</v>
      </c>
      <c r="U2895" s="1">
        <v>1.8800000000000001E-2</v>
      </c>
      <c r="V2895" s="1">
        <v>0.73509999999999998</v>
      </c>
      <c r="W2895" s="1">
        <v>0.77370000000000005</v>
      </c>
      <c r="X2895" s="1">
        <v>0.73660000000000003</v>
      </c>
    </row>
    <row r="2896" spans="1:24" x14ac:dyDescent="0.25">
      <c r="A2896" t="s">
        <v>198</v>
      </c>
      <c r="B2896" t="s">
        <v>350</v>
      </c>
      <c r="C2896">
        <v>62</v>
      </c>
      <c r="D2896" t="s">
        <v>201</v>
      </c>
      <c r="E2896">
        <v>2625</v>
      </c>
      <c r="I2896" s="1">
        <v>2.8799999999999999E-2</v>
      </c>
      <c r="L2896" s="1">
        <v>2.18E-2</v>
      </c>
      <c r="M2896" s="1">
        <v>0.1583</v>
      </c>
      <c r="P2896" s="1">
        <v>4.2299999999999997E-2</v>
      </c>
      <c r="R2896" s="1">
        <v>1.4800000000000001E-2</v>
      </c>
      <c r="V2896" s="1">
        <v>0.57989999999999997</v>
      </c>
      <c r="W2896" s="1">
        <v>0.64319999999999999</v>
      </c>
      <c r="X2896" s="1">
        <v>0.68759999999999999</v>
      </c>
    </row>
    <row r="2897" spans="1:24" x14ac:dyDescent="0.25">
      <c r="A2897" t="s">
        <v>198</v>
      </c>
      <c r="B2897" t="s">
        <v>348</v>
      </c>
      <c r="C2897">
        <v>62</v>
      </c>
      <c r="D2897" t="s">
        <v>201</v>
      </c>
      <c r="E2897">
        <v>2625</v>
      </c>
      <c r="F2897" s="1">
        <v>2.2200000000000001E-2</v>
      </c>
      <c r="G2897" s="1">
        <v>6.1800000000000001E-2</v>
      </c>
      <c r="I2897" s="1">
        <v>1.95E-2</v>
      </c>
      <c r="M2897" s="1">
        <v>0.50219999999999998</v>
      </c>
      <c r="Q2897" s="1">
        <v>4.9500000000000002E-2</v>
      </c>
      <c r="R2897" s="1">
        <v>3.9699999999999999E-2</v>
      </c>
      <c r="S2897" s="1">
        <v>3.4799999999999998E-2</v>
      </c>
      <c r="U2897" s="1">
        <v>4.7999999999999996E-3</v>
      </c>
      <c r="V2897" s="1">
        <v>0.33460000000000001</v>
      </c>
      <c r="W2897" s="1">
        <v>0.34050000000000002</v>
      </c>
      <c r="X2897" s="1">
        <v>0.34649999999999997</v>
      </c>
    </row>
    <row r="2898" spans="1:24" x14ac:dyDescent="0.25">
      <c r="A2898" t="s">
        <v>198</v>
      </c>
      <c r="B2898" t="s">
        <v>348</v>
      </c>
      <c r="C2898">
        <v>96</v>
      </c>
      <c r="D2898" t="s">
        <v>202</v>
      </c>
      <c r="E2898">
        <v>2625</v>
      </c>
      <c r="F2898" s="1">
        <v>9.4999999999999998E-3</v>
      </c>
      <c r="G2898" s="1">
        <v>5.62E-2</v>
      </c>
      <c r="H2898" s="1">
        <v>6.5100000000000005E-2</v>
      </c>
      <c r="I2898" s="1">
        <v>3.0300000000000001E-2</v>
      </c>
      <c r="L2898" s="1">
        <v>5.1000000000000004E-3</v>
      </c>
      <c r="M2898" s="1">
        <v>0.32650000000000001</v>
      </c>
      <c r="O2898" s="1">
        <v>2.7799999999999998E-2</v>
      </c>
      <c r="R2898" s="1">
        <v>8.0000000000000002E-3</v>
      </c>
      <c r="S2898" s="1">
        <v>5.1000000000000004E-3</v>
      </c>
      <c r="T2898" s="1">
        <v>3.1399999999999997E-2</v>
      </c>
      <c r="U2898" s="1">
        <v>1.6199999999999999E-2</v>
      </c>
      <c r="V2898" s="1">
        <v>0.35930000000000001</v>
      </c>
      <c r="W2898" s="1">
        <v>0.41249999999999998</v>
      </c>
      <c r="X2898" s="1">
        <v>0.45450000000000002</v>
      </c>
    </row>
    <row r="2899" spans="1:24" x14ac:dyDescent="0.25">
      <c r="A2899" t="s">
        <v>203</v>
      </c>
      <c r="B2899" t="s">
        <v>349</v>
      </c>
      <c r="C2899">
        <v>171</v>
      </c>
      <c r="D2899" t="s">
        <v>199</v>
      </c>
      <c r="E2899">
        <v>2625</v>
      </c>
      <c r="F2899" s="1">
        <v>3.44E-2</v>
      </c>
      <c r="G2899" s="1">
        <v>0.22209999999999999</v>
      </c>
      <c r="H2899" s="1">
        <v>5.4999999999999997E-3</v>
      </c>
      <c r="I2899" s="1">
        <v>3.3E-3</v>
      </c>
      <c r="K2899" s="1">
        <v>2.6200000000000001E-2</v>
      </c>
      <c r="L2899" s="1">
        <v>2.2800000000000001E-2</v>
      </c>
      <c r="M2899" s="1">
        <v>7.9600000000000004E-2</v>
      </c>
      <c r="N2899" s="1">
        <v>1.2999999999999999E-3</v>
      </c>
      <c r="P2899" s="1">
        <v>1.5299999999999999E-2</v>
      </c>
      <c r="Q2899" s="1">
        <v>5.7099999999999998E-2</v>
      </c>
      <c r="R2899" s="1">
        <v>1.8200000000000001E-2</v>
      </c>
      <c r="S2899" s="1">
        <v>8.8000000000000005E-3</v>
      </c>
      <c r="U2899" s="1">
        <v>0.1186</v>
      </c>
      <c r="V2899" s="1">
        <v>0.81440000000000001</v>
      </c>
      <c r="W2899" s="1">
        <v>0.81820000000000004</v>
      </c>
      <c r="X2899" s="1">
        <v>0.66</v>
      </c>
    </row>
    <row r="2900" spans="1:24" x14ac:dyDescent="0.25">
      <c r="A2900" t="s">
        <v>203</v>
      </c>
      <c r="B2900" t="s">
        <v>348</v>
      </c>
      <c r="C2900">
        <v>42</v>
      </c>
      <c r="D2900" t="s">
        <v>199</v>
      </c>
      <c r="E2900">
        <v>2625</v>
      </c>
      <c r="G2900" s="1">
        <v>0.26140000000000002</v>
      </c>
      <c r="I2900" s="1">
        <v>3.1800000000000002E-2</v>
      </c>
      <c r="L2900" s="1">
        <v>0.01</v>
      </c>
      <c r="M2900" s="1">
        <v>0.29339999999999999</v>
      </c>
      <c r="Q2900" s="1">
        <v>1.9900000000000001E-2</v>
      </c>
      <c r="R2900" s="1">
        <v>0.01</v>
      </c>
      <c r="S2900" s="1">
        <v>0.01</v>
      </c>
      <c r="V2900" s="1">
        <v>0.52270000000000005</v>
      </c>
      <c r="W2900" s="1">
        <v>0.54259999999999997</v>
      </c>
      <c r="X2900" s="1">
        <v>0.43530000000000002</v>
      </c>
    </row>
    <row r="2901" spans="1:24" x14ac:dyDescent="0.25">
      <c r="A2901" t="s">
        <v>203</v>
      </c>
      <c r="B2901" t="s">
        <v>350</v>
      </c>
      <c r="C2901">
        <v>307</v>
      </c>
      <c r="D2901" t="s">
        <v>199</v>
      </c>
      <c r="E2901">
        <v>2625</v>
      </c>
      <c r="F2901" s="1">
        <v>6.7900000000000002E-2</v>
      </c>
      <c r="G2901" s="1">
        <v>0.19389999999999999</v>
      </c>
      <c r="H2901" s="1">
        <v>2.3999999999999998E-3</v>
      </c>
      <c r="I2901" s="1">
        <v>4.7000000000000002E-3</v>
      </c>
      <c r="K2901" s="1">
        <v>1.43E-2</v>
      </c>
      <c r="L2901" s="1">
        <v>1.5900000000000001E-2</v>
      </c>
      <c r="M2901" s="1">
        <v>2.0799999999999999E-2</v>
      </c>
      <c r="P2901" s="1">
        <v>4.7E-2</v>
      </c>
      <c r="Q2901" s="1">
        <v>0.1115</v>
      </c>
      <c r="R2901" s="1">
        <v>4.9399999999999999E-2</v>
      </c>
      <c r="S2901" s="1">
        <v>2.6100000000000002E-2</v>
      </c>
      <c r="V2901" s="1">
        <v>0.89910000000000001</v>
      </c>
      <c r="W2901" s="1">
        <v>0.95320000000000005</v>
      </c>
      <c r="X2901" s="1">
        <v>0.95650000000000002</v>
      </c>
    </row>
    <row r="2902" spans="1:24" x14ac:dyDescent="0.25">
      <c r="A2902" t="s">
        <v>203</v>
      </c>
      <c r="B2902" t="s">
        <v>348</v>
      </c>
      <c r="C2902">
        <v>299</v>
      </c>
      <c r="D2902" t="s">
        <v>200</v>
      </c>
      <c r="E2902">
        <v>2625</v>
      </c>
      <c r="F2902" s="1">
        <v>2.76E-2</v>
      </c>
      <c r="G2902" s="1">
        <v>0.13589999999999999</v>
      </c>
      <c r="H2902" s="1">
        <v>2.1100000000000001E-2</v>
      </c>
      <c r="I2902" s="1">
        <v>8.0000000000000004E-4</v>
      </c>
      <c r="L2902" s="1">
        <v>2.7000000000000001E-3</v>
      </c>
      <c r="M2902" s="1">
        <v>0.29480000000000001</v>
      </c>
      <c r="N2902" s="1">
        <v>1.9699999999999999E-2</v>
      </c>
      <c r="P2902" s="1">
        <v>4.58E-2</v>
      </c>
      <c r="Q2902" s="1">
        <v>4.7100000000000003E-2</v>
      </c>
      <c r="R2902" s="1">
        <v>2.7000000000000001E-3</v>
      </c>
      <c r="S2902" s="1">
        <v>1.35E-2</v>
      </c>
      <c r="U2902" s="1">
        <v>2.4299999999999999E-2</v>
      </c>
      <c r="V2902" s="1">
        <v>0.3997</v>
      </c>
      <c r="W2902" s="1">
        <v>0.47720000000000001</v>
      </c>
      <c r="X2902" s="1">
        <v>0.4728</v>
      </c>
    </row>
    <row r="2903" spans="1:24" x14ac:dyDescent="0.25">
      <c r="A2903" t="s">
        <v>203</v>
      </c>
      <c r="B2903" t="s">
        <v>349</v>
      </c>
      <c r="C2903">
        <v>108</v>
      </c>
      <c r="D2903" t="s">
        <v>200</v>
      </c>
      <c r="E2903">
        <v>2625</v>
      </c>
      <c r="F2903" s="1">
        <v>3.0599999999999999E-2</v>
      </c>
      <c r="G2903" s="1">
        <v>0.15429999999999999</v>
      </c>
      <c r="I2903" s="1">
        <v>8.9999999999999998E-4</v>
      </c>
      <c r="M2903" s="1">
        <v>0.14399999999999999</v>
      </c>
      <c r="N2903" s="1">
        <v>8.0000000000000004E-4</v>
      </c>
      <c r="Q2903" s="1">
        <v>3.78E-2</v>
      </c>
      <c r="R2903" s="1">
        <v>3.15E-2</v>
      </c>
      <c r="V2903" s="1">
        <v>0.56430000000000002</v>
      </c>
      <c r="W2903" s="1">
        <v>0.4743</v>
      </c>
      <c r="X2903" s="1">
        <v>0.61180000000000001</v>
      </c>
    </row>
    <row r="2904" spans="1:24" x14ac:dyDescent="0.25">
      <c r="A2904" t="s">
        <v>203</v>
      </c>
      <c r="B2904" t="s">
        <v>350</v>
      </c>
      <c r="C2904">
        <v>94</v>
      </c>
      <c r="D2904" t="s">
        <v>200</v>
      </c>
      <c r="E2904">
        <v>2625</v>
      </c>
      <c r="G2904" s="1">
        <v>2.2599999999999999E-2</v>
      </c>
      <c r="I2904" s="1">
        <v>2.23E-2</v>
      </c>
      <c r="L2904" s="1">
        <v>2.2000000000000001E-3</v>
      </c>
      <c r="M2904" s="1">
        <v>2.6700000000000002E-2</v>
      </c>
      <c r="N2904" s="1">
        <v>6.5299999999999997E-2</v>
      </c>
      <c r="O2904" s="1">
        <v>1.55E-2</v>
      </c>
      <c r="P2904" s="1">
        <v>3.3999999999999998E-3</v>
      </c>
      <c r="Q2904" s="1">
        <v>3.27E-2</v>
      </c>
      <c r="R2904" s="1">
        <v>3.6200000000000003E-2</v>
      </c>
      <c r="S2904" s="1">
        <v>1.55E-2</v>
      </c>
      <c r="V2904" s="1">
        <v>0.65039999999999998</v>
      </c>
      <c r="W2904" s="1">
        <v>0.80059999999999998</v>
      </c>
      <c r="X2904" s="1">
        <v>0.78890000000000005</v>
      </c>
    </row>
    <row r="2905" spans="1:24" x14ac:dyDescent="0.25">
      <c r="A2905" t="s">
        <v>203</v>
      </c>
      <c r="B2905" t="s">
        <v>348</v>
      </c>
      <c r="C2905">
        <v>62</v>
      </c>
      <c r="D2905" t="s">
        <v>201</v>
      </c>
      <c r="E2905">
        <v>2625</v>
      </c>
      <c r="G2905" s="1">
        <v>0.13289999999999999</v>
      </c>
      <c r="I2905" s="1">
        <v>3.8699999999999998E-2</v>
      </c>
      <c r="M2905" s="1">
        <v>0.38869999999999999</v>
      </c>
      <c r="N2905" s="1">
        <v>1.78E-2</v>
      </c>
      <c r="Q2905" s="1">
        <v>8.8099999999999998E-2</v>
      </c>
      <c r="S2905" s="1">
        <v>4.36E-2</v>
      </c>
      <c r="V2905" s="1">
        <v>0.4204</v>
      </c>
      <c r="W2905" s="1">
        <v>0.37709999999999999</v>
      </c>
      <c r="X2905" s="1">
        <v>0.4037</v>
      </c>
    </row>
    <row r="2906" spans="1:24" x14ac:dyDescent="0.25">
      <c r="A2906" t="s">
        <v>203</v>
      </c>
      <c r="B2906" t="s">
        <v>349</v>
      </c>
      <c r="C2906">
        <v>147</v>
      </c>
      <c r="D2906" t="s">
        <v>201</v>
      </c>
      <c r="E2906">
        <v>2625</v>
      </c>
      <c r="F2906" s="1">
        <v>9.8000000000000004E-2</v>
      </c>
      <c r="G2906" s="1">
        <v>0.28570000000000001</v>
      </c>
      <c r="I2906" s="1">
        <v>2.0000000000000001E-4</v>
      </c>
      <c r="L2906" s="1">
        <v>2.3E-3</v>
      </c>
      <c r="M2906" s="1">
        <v>4.19E-2</v>
      </c>
      <c r="O2906" s="1">
        <v>1.8E-3</v>
      </c>
      <c r="P2906" s="1">
        <v>1.9400000000000001E-2</v>
      </c>
      <c r="Q2906" s="1">
        <v>2.5600000000000001E-2</v>
      </c>
      <c r="R2906" s="1">
        <v>1.7000000000000001E-2</v>
      </c>
      <c r="S2906" s="1">
        <v>4.0500000000000001E-2</v>
      </c>
      <c r="T2906" s="1">
        <v>8.5000000000000006E-3</v>
      </c>
      <c r="V2906" s="1">
        <v>0.82469999999999999</v>
      </c>
      <c r="W2906" s="1">
        <v>0.81859999999999999</v>
      </c>
      <c r="X2906" s="1">
        <v>0.67659999999999998</v>
      </c>
    </row>
    <row r="2907" spans="1:24" x14ac:dyDescent="0.25">
      <c r="A2907" t="s">
        <v>203</v>
      </c>
      <c r="B2907" t="s">
        <v>350</v>
      </c>
      <c r="C2907">
        <v>104</v>
      </c>
      <c r="D2907" t="s">
        <v>201</v>
      </c>
      <c r="E2907">
        <v>2625</v>
      </c>
      <c r="G2907" s="1">
        <v>3.2300000000000002E-2</v>
      </c>
      <c r="I2907" s="1">
        <v>1.9300000000000001E-2</v>
      </c>
      <c r="L2907" s="1">
        <v>1.9300000000000001E-2</v>
      </c>
      <c r="M2907" s="1">
        <v>4.1399999999999999E-2</v>
      </c>
      <c r="P2907" s="1">
        <v>7.6499999999999999E-2</v>
      </c>
      <c r="Q2907" s="1">
        <v>2.9499999999999998E-2</v>
      </c>
      <c r="S2907" s="1">
        <v>2.2100000000000002E-2</v>
      </c>
      <c r="T2907" s="1">
        <v>1.6500000000000001E-2</v>
      </c>
      <c r="U2907" s="1">
        <v>1.6500000000000001E-2</v>
      </c>
      <c r="V2907" s="1">
        <v>0.68869999999999998</v>
      </c>
      <c r="W2907" s="1">
        <v>0.84560000000000002</v>
      </c>
      <c r="X2907" s="1">
        <v>0.82069999999999999</v>
      </c>
    </row>
    <row r="2908" spans="1:24" x14ac:dyDescent="0.25">
      <c r="A2908" t="s">
        <v>203</v>
      </c>
      <c r="B2908" t="s">
        <v>348</v>
      </c>
      <c r="C2908">
        <v>90</v>
      </c>
      <c r="D2908" t="s">
        <v>202</v>
      </c>
      <c r="E2908">
        <v>2625</v>
      </c>
      <c r="F2908" s="1">
        <v>2.1299999999999999E-2</v>
      </c>
      <c r="G2908" s="1">
        <v>0.152</v>
      </c>
      <c r="H2908" s="1">
        <v>3.2199999999999999E-2</v>
      </c>
      <c r="I2908" s="1">
        <v>2.9100000000000001E-2</v>
      </c>
      <c r="L2908" s="1">
        <v>2.7199999999999998E-2</v>
      </c>
      <c r="M2908" s="1">
        <v>0.4894</v>
      </c>
      <c r="N2908" s="1">
        <v>4.8999999999999998E-3</v>
      </c>
      <c r="Q2908" s="1">
        <v>3.5099999999999999E-2</v>
      </c>
      <c r="R2908" s="1">
        <v>9.5999999999999992E-3</v>
      </c>
      <c r="S2908" s="1">
        <v>1.4E-2</v>
      </c>
      <c r="T2908" s="1">
        <v>7.5300000000000006E-2</v>
      </c>
      <c r="U2908" s="1">
        <v>5.9200000000000003E-2</v>
      </c>
      <c r="V2908" s="1">
        <v>0.2868</v>
      </c>
      <c r="W2908" s="1">
        <v>0.2445</v>
      </c>
      <c r="X2908" s="1">
        <v>0.2082</v>
      </c>
    </row>
    <row r="2909" spans="1:24" x14ac:dyDescent="0.25">
      <c r="A2909" t="s">
        <v>204</v>
      </c>
      <c r="B2909" t="s">
        <v>204</v>
      </c>
      <c r="C2909">
        <v>2625</v>
      </c>
      <c r="D2909" t="s">
        <v>204</v>
      </c>
      <c r="E2909">
        <v>2625</v>
      </c>
      <c r="F2909" s="1">
        <v>3.1300000000000001E-2</v>
      </c>
      <c r="G2909" s="1">
        <v>0.13739999999999999</v>
      </c>
      <c r="H2909" s="1">
        <v>1.72E-2</v>
      </c>
      <c r="I2909" s="1">
        <v>1.15E-2</v>
      </c>
      <c r="J2909" s="1">
        <v>6.9999999999999999E-4</v>
      </c>
      <c r="K2909" s="1">
        <v>2.3E-3</v>
      </c>
      <c r="L2909" s="1">
        <v>9.4000000000000004E-3</v>
      </c>
      <c r="M2909" s="1">
        <v>0.249</v>
      </c>
      <c r="N2909" s="1">
        <v>7.1999999999999998E-3</v>
      </c>
      <c r="O2909" s="1">
        <v>3.5999999999999999E-3</v>
      </c>
      <c r="P2909" s="1">
        <v>2.2599999999999999E-2</v>
      </c>
      <c r="Q2909" s="1">
        <v>4.6300000000000001E-2</v>
      </c>
      <c r="R2909" s="1">
        <v>1.2999999999999999E-2</v>
      </c>
      <c r="S2909" s="1">
        <v>1.4800000000000001E-2</v>
      </c>
      <c r="T2909" s="1">
        <v>8.0999999999999996E-3</v>
      </c>
      <c r="U2909" s="1">
        <v>1.7399999999999999E-2</v>
      </c>
      <c r="V2909" s="1">
        <v>0.53590000000000004</v>
      </c>
      <c r="W2909" s="1">
        <v>0.58140000000000003</v>
      </c>
      <c r="X2909" s="1">
        <v>0.5655</v>
      </c>
    </row>
    <row r="2911" spans="1:24" x14ac:dyDescent="0.25">
      <c r="A2911" t="s">
        <v>805</v>
      </c>
    </row>
    <row r="2912" spans="1:24" x14ac:dyDescent="0.25">
      <c r="A2912" t="s">
        <v>190</v>
      </c>
      <c r="B2912" t="s">
        <v>195</v>
      </c>
      <c r="C2912" t="s">
        <v>189</v>
      </c>
      <c r="D2912" t="s">
        <v>196</v>
      </c>
      <c r="E2912" t="s">
        <v>806</v>
      </c>
      <c r="F2912" t="s">
        <v>807</v>
      </c>
      <c r="G2912" t="s">
        <v>808</v>
      </c>
      <c r="H2912" t="s">
        <v>809</v>
      </c>
      <c r="I2912" t="s">
        <v>810</v>
      </c>
      <c r="J2912" t="s">
        <v>811</v>
      </c>
      <c r="K2912" t="s">
        <v>812</v>
      </c>
      <c r="L2912" t="s">
        <v>813</v>
      </c>
      <c r="M2912" t="s">
        <v>814</v>
      </c>
      <c r="N2912" t="s">
        <v>815</v>
      </c>
      <c r="O2912" t="s">
        <v>215</v>
      </c>
      <c r="P2912" t="s">
        <v>816</v>
      </c>
      <c r="Q2912" t="s">
        <v>817</v>
      </c>
    </row>
    <row r="2913" spans="1:17" s="29" customFormat="1" x14ac:dyDescent="0.25">
      <c r="A2913" s="29" t="s">
        <v>198</v>
      </c>
      <c r="B2913" s="29">
        <v>1</v>
      </c>
      <c r="C2913" s="29" t="s">
        <v>197</v>
      </c>
      <c r="D2913" s="29">
        <v>59</v>
      </c>
      <c r="I2913" s="30">
        <v>1</v>
      </c>
      <c r="L2913" s="30">
        <v>1</v>
      </c>
    </row>
    <row r="2914" spans="1:17" s="29" customFormat="1" x14ac:dyDescent="0.25">
      <c r="A2914" s="29" t="s">
        <v>198</v>
      </c>
      <c r="B2914" s="29">
        <v>9</v>
      </c>
      <c r="C2914" s="29" t="s">
        <v>199</v>
      </c>
      <c r="D2914" s="29">
        <v>59</v>
      </c>
      <c r="F2914" s="30">
        <v>6.4600000000000005E-2</v>
      </c>
      <c r="H2914" s="30">
        <v>6.4600000000000005E-2</v>
      </c>
      <c r="I2914" s="30">
        <v>0.91420000000000001</v>
      </c>
      <c r="K2914" s="30">
        <v>1.15E-2</v>
      </c>
      <c r="L2914" s="30">
        <v>8.5800000000000001E-2</v>
      </c>
      <c r="N2914" s="30">
        <v>0.1389</v>
      </c>
    </row>
    <row r="2915" spans="1:17" s="29" customFormat="1" x14ac:dyDescent="0.25">
      <c r="A2915" s="29" t="s">
        <v>198</v>
      </c>
      <c r="B2915" s="29">
        <v>5</v>
      </c>
      <c r="C2915" s="29" t="s">
        <v>200</v>
      </c>
      <c r="D2915" s="29">
        <v>59</v>
      </c>
      <c r="G2915" s="30">
        <v>4.07E-2</v>
      </c>
      <c r="H2915" s="30">
        <v>6.2100000000000002E-2</v>
      </c>
      <c r="I2915" s="30">
        <v>0.95930000000000004</v>
      </c>
      <c r="N2915" s="30">
        <v>4.07E-2</v>
      </c>
    </row>
    <row r="2916" spans="1:17" s="29" customFormat="1" x14ac:dyDescent="0.25">
      <c r="A2916" s="29" t="s">
        <v>198</v>
      </c>
      <c r="B2916" s="29">
        <v>4</v>
      </c>
      <c r="C2916" s="29" t="s">
        <v>201</v>
      </c>
      <c r="D2916" s="29">
        <v>59</v>
      </c>
      <c r="F2916" s="30">
        <v>0.63160000000000005</v>
      </c>
      <c r="G2916" s="30">
        <v>4.53E-2</v>
      </c>
      <c r="H2916" s="30">
        <v>0.63160000000000005</v>
      </c>
      <c r="N2916" s="30">
        <v>0.3231</v>
      </c>
    </row>
    <row r="2917" spans="1:17" s="29" customFormat="1" x14ac:dyDescent="0.25">
      <c r="A2917" s="29" t="s">
        <v>198</v>
      </c>
      <c r="B2917" s="29">
        <v>4</v>
      </c>
      <c r="C2917" s="29" t="s">
        <v>202</v>
      </c>
      <c r="D2917" s="29">
        <v>59</v>
      </c>
      <c r="I2917" s="30">
        <v>0.7792</v>
      </c>
      <c r="L2917" s="30">
        <v>0.89049999999999996</v>
      </c>
    </row>
    <row r="2918" spans="1:17" s="29" customFormat="1" x14ac:dyDescent="0.25">
      <c r="A2918" s="29" t="s">
        <v>203</v>
      </c>
      <c r="B2918" s="29">
        <v>17</v>
      </c>
      <c r="C2918" s="29" t="s">
        <v>199</v>
      </c>
      <c r="D2918" s="29">
        <v>59</v>
      </c>
      <c r="E2918" s="30">
        <v>4.58E-2</v>
      </c>
      <c r="F2918" s="30">
        <v>9.1700000000000004E-2</v>
      </c>
      <c r="H2918" s="30">
        <v>0.21759999999999999</v>
      </c>
      <c r="I2918" s="30">
        <v>3.3599999999999998E-2</v>
      </c>
      <c r="K2918" s="30">
        <v>1.3100000000000001E-2</v>
      </c>
      <c r="L2918" s="30">
        <v>0.27100000000000002</v>
      </c>
      <c r="M2918" s="30">
        <v>2.29E-2</v>
      </c>
      <c r="N2918" s="30">
        <v>0.39500000000000002</v>
      </c>
      <c r="O2918" s="30">
        <v>0.2316</v>
      </c>
    </row>
    <row r="2919" spans="1:17" s="29" customFormat="1" x14ac:dyDescent="0.25">
      <c r="A2919" s="29" t="s">
        <v>203</v>
      </c>
      <c r="B2919" s="29">
        <v>12</v>
      </c>
      <c r="C2919" s="29" t="s">
        <v>200</v>
      </c>
      <c r="D2919" s="29">
        <v>59</v>
      </c>
      <c r="I2919" s="30">
        <v>9.6299999999999997E-2</v>
      </c>
      <c r="J2919" s="30">
        <v>1.01E-2</v>
      </c>
      <c r="L2919" s="30">
        <v>0.75329999999999997</v>
      </c>
      <c r="M2919" s="30">
        <v>2.0799999999999999E-2</v>
      </c>
      <c r="N2919" s="30">
        <v>0.1363</v>
      </c>
      <c r="P2919" s="30">
        <v>1.6799999999999999E-2</v>
      </c>
    </row>
    <row r="2920" spans="1:17" s="29" customFormat="1" x14ac:dyDescent="0.25">
      <c r="A2920" s="29" t="s">
        <v>203</v>
      </c>
      <c r="B2920" s="29">
        <v>2</v>
      </c>
      <c r="C2920" s="29" t="s">
        <v>201</v>
      </c>
      <c r="D2920" s="29">
        <v>59</v>
      </c>
      <c r="L2920" s="30">
        <v>0.5</v>
      </c>
      <c r="M2920" s="30">
        <v>0.5</v>
      </c>
      <c r="N2920" s="30">
        <v>0.5</v>
      </c>
    </row>
    <row r="2921" spans="1:17" s="29" customFormat="1" x14ac:dyDescent="0.25">
      <c r="A2921" s="29" t="s">
        <v>203</v>
      </c>
      <c r="B2921" s="29">
        <v>5</v>
      </c>
      <c r="C2921" s="29" t="s">
        <v>202</v>
      </c>
      <c r="D2921" s="29">
        <v>59</v>
      </c>
      <c r="K2921" s="30">
        <v>0.32790000000000002</v>
      </c>
      <c r="L2921" s="30">
        <v>0.20960000000000001</v>
      </c>
      <c r="O2921" s="30">
        <v>0.2306</v>
      </c>
      <c r="P2921" s="30">
        <v>0.20960000000000001</v>
      </c>
      <c r="Q2921" s="30">
        <v>0.4415</v>
      </c>
    </row>
    <row r="2922" spans="1:17" x14ac:dyDescent="0.25">
      <c r="A2922" t="s">
        <v>204</v>
      </c>
      <c r="B2922">
        <v>59</v>
      </c>
      <c r="C2922" t="s">
        <v>204</v>
      </c>
      <c r="D2922">
        <v>59</v>
      </c>
      <c r="E2922" s="1">
        <v>8.0000000000000002E-3</v>
      </c>
      <c r="F2922" s="1">
        <v>3.8300000000000001E-2</v>
      </c>
      <c r="G2922" s="1">
        <v>3.8E-3</v>
      </c>
      <c r="H2922" s="1">
        <v>6.4399999999999999E-2</v>
      </c>
      <c r="I2922" s="1">
        <v>0.40970000000000001</v>
      </c>
      <c r="J2922" s="1">
        <v>2.5999999999999999E-3</v>
      </c>
      <c r="K2922" s="1">
        <v>2.7300000000000001E-2</v>
      </c>
      <c r="L2922" s="1">
        <v>0.51770000000000005</v>
      </c>
      <c r="M2922" s="1">
        <v>2.23E-2</v>
      </c>
      <c r="N2922" s="1">
        <v>0.14349999999999999</v>
      </c>
      <c r="O2922" s="1">
        <v>5.7000000000000002E-2</v>
      </c>
      <c r="P2922" s="1">
        <v>1.95E-2</v>
      </c>
      <c r="Q2922" s="1">
        <v>3.1899999999999998E-2</v>
      </c>
    </row>
    <row r="2924" spans="1:17" x14ac:dyDescent="0.25">
      <c r="A2924" t="s">
        <v>818</v>
      </c>
    </row>
    <row r="2925" spans="1:17" x14ac:dyDescent="0.25">
      <c r="A2925" t="s">
        <v>190</v>
      </c>
      <c r="B2925" t="s">
        <v>195</v>
      </c>
      <c r="C2925" t="s">
        <v>189</v>
      </c>
      <c r="D2925" t="s">
        <v>196</v>
      </c>
      <c r="E2925" t="s">
        <v>819</v>
      </c>
      <c r="F2925" t="s">
        <v>820</v>
      </c>
      <c r="G2925" t="s">
        <v>821</v>
      </c>
      <c r="H2925" t="s">
        <v>822</v>
      </c>
      <c r="I2925" t="s">
        <v>215</v>
      </c>
      <c r="J2925" t="s">
        <v>823</v>
      </c>
    </row>
    <row r="2926" spans="1:17" x14ac:dyDescent="0.25">
      <c r="A2926" t="s">
        <v>198</v>
      </c>
      <c r="B2926">
        <v>81</v>
      </c>
      <c r="C2926" t="s">
        <v>197</v>
      </c>
      <c r="D2926">
        <v>2621</v>
      </c>
      <c r="E2926" s="1">
        <v>3.2599999999999997E-2</v>
      </c>
      <c r="F2926" s="1">
        <v>1.12E-2</v>
      </c>
      <c r="H2926" s="1">
        <v>0.95620000000000005</v>
      </c>
    </row>
    <row r="2927" spans="1:17" x14ac:dyDescent="0.25">
      <c r="A2927" t="s">
        <v>198</v>
      </c>
      <c r="B2927">
        <v>365</v>
      </c>
      <c r="C2927" t="s">
        <v>199</v>
      </c>
      <c r="D2927">
        <v>2621</v>
      </c>
      <c r="E2927" s="1">
        <v>3.09E-2</v>
      </c>
      <c r="F2927" s="1">
        <v>1.1900000000000001E-2</v>
      </c>
      <c r="G2927" s="1">
        <v>4.0300000000000002E-2</v>
      </c>
      <c r="H2927" s="1">
        <v>0.80420000000000003</v>
      </c>
      <c r="I2927" s="1">
        <v>8.9999999999999998E-4</v>
      </c>
      <c r="J2927" s="1">
        <v>0.1118</v>
      </c>
    </row>
    <row r="2928" spans="1:17" x14ac:dyDescent="0.25">
      <c r="A2928" t="s">
        <v>198</v>
      </c>
      <c r="B2928">
        <v>385</v>
      </c>
      <c r="C2928" t="s">
        <v>200</v>
      </c>
      <c r="D2928">
        <v>2621</v>
      </c>
      <c r="E2928" s="1">
        <v>6.9800000000000001E-2</v>
      </c>
      <c r="F2928" s="1">
        <v>1.6E-2</v>
      </c>
      <c r="G2928" s="1">
        <v>1.12E-2</v>
      </c>
      <c r="H2928" s="1">
        <v>0.83199999999999996</v>
      </c>
      <c r="I2928" s="1">
        <v>9.1999999999999998E-3</v>
      </c>
      <c r="J2928" s="1">
        <v>6.1800000000000001E-2</v>
      </c>
    </row>
    <row r="2929" spans="1:11" x14ac:dyDescent="0.25">
      <c r="A2929" t="s">
        <v>198</v>
      </c>
      <c r="B2929">
        <v>254</v>
      </c>
      <c r="C2929" t="s">
        <v>201</v>
      </c>
      <c r="D2929">
        <v>2621</v>
      </c>
      <c r="E2929" s="1">
        <v>7.2099999999999997E-2</v>
      </c>
      <c r="F2929" s="1">
        <v>2.4299999999999999E-2</v>
      </c>
      <c r="G2929" s="1">
        <v>3.1199999999999999E-2</v>
      </c>
      <c r="H2929" s="1">
        <v>0.82330000000000003</v>
      </c>
      <c r="J2929" s="1">
        <v>4.9099999999999998E-2</v>
      </c>
    </row>
    <row r="2930" spans="1:11" x14ac:dyDescent="0.25">
      <c r="A2930" t="s">
        <v>198</v>
      </c>
      <c r="B2930">
        <v>95</v>
      </c>
      <c r="C2930" t="s">
        <v>202</v>
      </c>
      <c r="D2930">
        <v>2621</v>
      </c>
      <c r="E2930" s="1">
        <v>5.0500000000000003E-2</v>
      </c>
      <c r="F2930" s="1">
        <v>1.0800000000000001E-2</v>
      </c>
      <c r="G2930" s="1">
        <v>4.5100000000000001E-2</v>
      </c>
      <c r="H2930" s="1">
        <v>0.76719999999999999</v>
      </c>
      <c r="J2930" s="1">
        <v>0.1265</v>
      </c>
    </row>
    <row r="2931" spans="1:11" x14ac:dyDescent="0.25">
      <c r="A2931" t="s">
        <v>203</v>
      </c>
      <c r="B2931">
        <v>527</v>
      </c>
      <c r="C2931" t="s">
        <v>199</v>
      </c>
      <c r="D2931">
        <v>2621</v>
      </c>
      <c r="E2931" s="1">
        <v>3.6299999999999999E-2</v>
      </c>
      <c r="F2931" s="1">
        <v>1.01E-2</v>
      </c>
      <c r="G2931" s="1">
        <v>7.4200000000000002E-2</v>
      </c>
      <c r="H2931" s="1">
        <v>0.82369999999999999</v>
      </c>
      <c r="I2931" s="1">
        <v>2.3E-3</v>
      </c>
      <c r="J2931" s="1">
        <v>5.3400000000000003E-2</v>
      </c>
    </row>
    <row r="2932" spans="1:11" x14ac:dyDescent="0.25">
      <c r="A2932" t="s">
        <v>203</v>
      </c>
      <c r="B2932">
        <v>503</v>
      </c>
      <c r="C2932" t="s">
        <v>200</v>
      </c>
      <c r="D2932">
        <v>2621</v>
      </c>
      <c r="E2932" s="1">
        <v>2.63E-2</v>
      </c>
      <c r="F2932" s="1">
        <v>6.0000000000000001E-3</v>
      </c>
      <c r="G2932" s="1">
        <v>1.38E-2</v>
      </c>
      <c r="H2932" s="1">
        <v>0.92200000000000004</v>
      </c>
      <c r="J2932" s="1">
        <v>3.1899999999999998E-2</v>
      </c>
    </row>
    <row r="2933" spans="1:11" x14ac:dyDescent="0.25">
      <c r="A2933" t="s">
        <v>203</v>
      </c>
      <c r="B2933">
        <v>321</v>
      </c>
      <c r="C2933" t="s">
        <v>201</v>
      </c>
      <c r="D2933">
        <v>2621</v>
      </c>
      <c r="E2933" s="1">
        <v>3.4599999999999999E-2</v>
      </c>
      <c r="F2933" s="1">
        <v>3.3E-3</v>
      </c>
      <c r="G2933" s="1">
        <v>3.6900000000000002E-2</v>
      </c>
      <c r="H2933" s="1">
        <v>0.8569</v>
      </c>
      <c r="I2933" s="1">
        <v>1.1999999999999999E-3</v>
      </c>
      <c r="J2933" s="1">
        <v>6.7199999999999996E-2</v>
      </c>
    </row>
    <row r="2934" spans="1:11" x14ac:dyDescent="0.25">
      <c r="A2934" t="s">
        <v>203</v>
      </c>
      <c r="B2934">
        <v>90</v>
      </c>
      <c r="C2934" t="s">
        <v>202</v>
      </c>
      <c r="D2934">
        <v>2621</v>
      </c>
      <c r="F2934" s="1">
        <v>9.5999999999999992E-3</v>
      </c>
      <c r="G2934" s="1">
        <v>5.67E-2</v>
      </c>
      <c r="H2934" s="1">
        <v>0.88990000000000002</v>
      </c>
      <c r="I2934" s="1">
        <v>1.0200000000000001E-2</v>
      </c>
      <c r="J2934" s="1">
        <v>3.3599999999999998E-2</v>
      </c>
    </row>
    <row r="2935" spans="1:11" x14ac:dyDescent="0.25">
      <c r="A2935" t="s">
        <v>204</v>
      </c>
      <c r="B2935">
        <v>2621</v>
      </c>
      <c r="C2935" t="s">
        <v>204</v>
      </c>
      <c r="D2935">
        <v>2621</v>
      </c>
      <c r="E2935" s="1">
        <v>3.7600000000000001E-2</v>
      </c>
      <c r="F2935" s="1">
        <v>1.0200000000000001E-2</v>
      </c>
      <c r="G2935" s="1">
        <v>3.1E-2</v>
      </c>
      <c r="H2935" s="1">
        <v>0.86099999999999999</v>
      </c>
      <c r="I2935" s="1">
        <v>2.0999999999999999E-3</v>
      </c>
      <c r="J2935" s="1">
        <v>5.8099999999999999E-2</v>
      </c>
    </row>
    <row r="2937" spans="1:11" x14ac:dyDescent="0.25">
      <c r="A2937" t="s">
        <v>824</v>
      </c>
    </row>
    <row r="2938" spans="1:11" x14ac:dyDescent="0.25">
      <c r="A2938" t="s">
        <v>190</v>
      </c>
      <c r="B2938" t="s">
        <v>206</v>
      </c>
      <c r="C2938" t="s">
        <v>195</v>
      </c>
      <c r="D2938" t="s">
        <v>189</v>
      </c>
      <c r="E2938" t="s">
        <v>196</v>
      </c>
      <c r="F2938" t="s">
        <v>819</v>
      </c>
      <c r="G2938" t="s">
        <v>820</v>
      </c>
      <c r="H2938" t="s">
        <v>821</v>
      </c>
      <c r="I2938" t="s">
        <v>822</v>
      </c>
      <c r="J2938" t="s">
        <v>215</v>
      </c>
      <c r="K2938" t="s">
        <v>823</v>
      </c>
    </row>
    <row r="2939" spans="1:11" s="29" customFormat="1" x14ac:dyDescent="0.25">
      <c r="A2939" s="29" t="s">
        <v>198</v>
      </c>
      <c r="B2939" s="29" t="s">
        <v>209</v>
      </c>
      <c r="C2939" s="29">
        <v>20</v>
      </c>
      <c r="D2939" s="29" t="s">
        <v>197</v>
      </c>
      <c r="E2939" s="29">
        <v>2621</v>
      </c>
      <c r="I2939" s="30">
        <v>1</v>
      </c>
    </row>
    <row r="2940" spans="1:11" x14ac:dyDescent="0.25">
      <c r="A2940" t="s">
        <v>198</v>
      </c>
      <c r="B2940" t="s">
        <v>210</v>
      </c>
      <c r="C2940">
        <v>61</v>
      </c>
      <c r="D2940" t="s">
        <v>197</v>
      </c>
      <c r="E2940">
        <v>2621</v>
      </c>
      <c r="F2940" s="1">
        <v>4.4200000000000003E-2</v>
      </c>
      <c r="G2940" s="1">
        <v>1.5100000000000001E-2</v>
      </c>
      <c r="I2940" s="1">
        <v>0.94069999999999998</v>
      </c>
    </row>
    <row r="2941" spans="1:11" x14ac:dyDescent="0.25">
      <c r="A2941" t="s">
        <v>198</v>
      </c>
      <c r="B2941" t="s">
        <v>209</v>
      </c>
      <c r="C2941">
        <v>75</v>
      </c>
      <c r="D2941" t="s">
        <v>199</v>
      </c>
      <c r="E2941">
        <v>2621</v>
      </c>
      <c r="F2941" s="1">
        <v>4.2900000000000001E-2</v>
      </c>
      <c r="G2941" s="1">
        <v>8.3000000000000001E-3</v>
      </c>
      <c r="H2941" s="1">
        <v>6.6799999999999998E-2</v>
      </c>
      <c r="I2941" s="1">
        <v>0.70089999999999997</v>
      </c>
      <c r="K2941" s="1">
        <v>0.18099999999999999</v>
      </c>
    </row>
    <row r="2942" spans="1:11" x14ac:dyDescent="0.25">
      <c r="A2942" t="s">
        <v>198</v>
      </c>
      <c r="B2942" t="s">
        <v>210</v>
      </c>
      <c r="C2942">
        <v>290</v>
      </c>
      <c r="D2942" t="s">
        <v>199</v>
      </c>
      <c r="E2942">
        <v>2621</v>
      </c>
      <c r="F2942" s="1">
        <v>2.7099999999999999E-2</v>
      </c>
      <c r="G2942" s="1">
        <v>1.3100000000000001E-2</v>
      </c>
      <c r="H2942" s="1">
        <v>3.1899999999999998E-2</v>
      </c>
      <c r="I2942" s="1">
        <v>0.83689999999999998</v>
      </c>
      <c r="J2942" s="1">
        <v>1.1999999999999999E-3</v>
      </c>
      <c r="K2942" s="1">
        <v>8.9899999999999994E-2</v>
      </c>
    </row>
    <row r="2943" spans="1:11" x14ac:dyDescent="0.25">
      <c r="A2943" t="s">
        <v>198</v>
      </c>
      <c r="B2943" t="s">
        <v>210</v>
      </c>
      <c r="C2943">
        <v>311</v>
      </c>
      <c r="D2943" t="s">
        <v>200</v>
      </c>
      <c r="E2943">
        <v>2621</v>
      </c>
      <c r="F2943" s="1">
        <v>6.5699999999999995E-2</v>
      </c>
      <c r="G2943" s="1">
        <v>0.02</v>
      </c>
      <c r="H2943" s="1">
        <v>9.9000000000000008E-3</v>
      </c>
      <c r="I2943" s="1">
        <v>0.82940000000000003</v>
      </c>
      <c r="J2943" s="1">
        <v>1.1599999999999999E-2</v>
      </c>
      <c r="K2943" s="1">
        <v>6.3299999999999995E-2</v>
      </c>
    </row>
    <row r="2944" spans="1:11" x14ac:dyDescent="0.25">
      <c r="A2944" t="s">
        <v>198</v>
      </c>
      <c r="B2944" t="s">
        <v>209</v>
      </c>
      <c r="C2944">
        <v>74</v>
      </c>
      <c r="D2944" t="s">
        <v>200</v>
      </c>
      <c r="E2944">
        <v>2621</v>
      </c>
      <c r="F2944" s="1">
        <v>8.5400000000000004E-2</v>
      </c>
      <c r="G2944" s="1">
        <v>5.0000000000000001E-4</v>
      </c>
      <c r="H2944" s="1">
        <v>1.6199999999999999E-2</v>
      </c>
      <c r="I2944" s="1">
        <v>0.84179999999999999</v>
      </c>
      <c r="K2944" s="1">
        <v>5.62E-2</v>
      </c>
    </row>
    <row r="2945" spans="1:11" x14ac:dyDescent="0.25">
      <c r="A2945" t="s">
        <v>198</v>
      </c>
      <c r="B2945" t="s">
        <v>209</v>
      </c>
      <c r="C2945">
        <v>51</v>
      </c>
      <c r="D2945" t="s">
        <v>201</v>
      </c>
      <c r="E2945">
        <v>2621</v>
      </c>
      <c r="F2945" s="1">
        <v>0.12989999999999999</v>
      </c>
      <c r="G2945" s="1">
        <v>1.0699999999999999E-2</v>
      </c>
      <c r="H2945" s="1">
        <v>2.3699999999999999E-2</v>
      </c>
      <c r="I2945" s="1">
        <v>0.78979999999999995</v>
      </c>
      <c r="K2945" s="1">
        <v>4.5900000000000003E-2</v>
      </c>
    </row>
    <row r="2946" spans="1:11" x14ac:dyDescent="0.25">
      <c r="A2946" t="s">
        <v>198</v>
      </c>
      <c r="B2946" t="s">
        <v>210</v>
      </c>
      <c r="C2946">
        <v>203</v>
      </c>
      <c r="D2946" t="s">
        <v>201</v>
      </c>
      <c r="E2946">
        <v>2621</v>
      </c>
      <c r="F2946" s="1">
        <v>5.8599999999999999E-2</v>
      </c>
      <c r="G2946" s="1">
        <v>2.75E-2</v>
      </c>
      <c r="H2946" s="1">
        <v>3.3000000000000002E-2</v>
      </c>
      <c r="I2946" s="1">
        <v>0.83109999999999995</v>
      </c>
      <c r="K2946" s="1">
        <v>4.9799999999999997E-2</v>
      </c>
    </row>
    <row r="2947" spans="1:11" x14ac:dyDescent="0.25">
      <c r="A2947" t="s">
        <v>198</v>
      </c>
      <c r="B2947" t="s">
        <v>210</v>
      </c>
      <c r="C2947">
        <v>71</v>
      </c>
      <c r="D2947" t="s">
        <v>202</v>
      </c>
      <c r="E2947">
        <v>2621</v>
      </c>
      <c r="F2947" s="1">
        <v>6.5799999999999997E-2</v>
      </c>
      <c r="G2947" s="1">
        <v>1.49E-2</v>
      </c>
      <c r="H2947" s="1">
        <v>3.5999999999999999E-3</v>
      </c>
      <c r="I2947" s="1">
        <v>0.74219999999999997</v>
      </c>
      <c r="K2947" s="1">
        <v>0.1736</v>
      </c>
    </row>
    <row r="2948" spans="1:11" s="29" customFormat="1" x14ac:dyDescent="0.25">
      <c r="A2948" s="29" t="s">
        <v>198</v>
      </c>
      <c r="B2948" s="29" t="s">
        <v>209</v>
      </c>
      <c r="C2948" s="29">
        <v>24</v>
      </c>
      <c r="D2948" s="29" t="s">
        <v>202</v>
      </c>
      <c r="E2948" s="29">
        <v>2621</v>
      </c>
      <c r="F2948" s="30">
        <v>9.5999999999999992E-3</v>
      </c>
      <c r="H2948" s="30">
        <v>0.15629999999999999</v>
      </c>
      <c r="I2948" s="30">
        <v>0.83420000000000005</v>
      </c>
    </row>
    <row r="2949" spans="1:11" x14ac:dyDescent="0.25">
      <c r="A2949" t="s">
        <v>203</v>
      </c>
      <c r="B2949" t="s">
        <v>209</v>
      </c>
      <c r="C2949">
        <v>126</v>
      </c>
      <c r="D2949" t="s">
        <v>199</v>
      </c>
      <c r="E2949">
        <v>2621</v>
      </c>
      <c r="F2949" s="1">
        <v>5.1499999999999997E-2</v>
      </c>
      <c r="G2949" s="1">
        <v>1.38E-2</v>
      </c>
      <c r="H2949" s="1">
        <v>5.7599999999999998E-2</v>
      </c>
      <c r="I2949" s="1">
        <v>0.86629999999999996</v>
      </c>
      <c r="K2949" s="1">
        <v>1.0800000000000001E-2</v>
      </c>
    </row>
    <row r="2950" spans="1:11" x14ac:dyDescent="0.25">
      <c r="A2950" t="s">
        <v>203</v>
      </c>
      <c r="B2950" t="s">
        <v>210</v>
      </c>
      <c r="C2950">
        <v>401</v>
      </c>
      <c r="D2950" t="s">
        <v>199</v>
      </c>
      <c r="E2950">
        <v>2621</v>
      </c>
      <c r="F2950" s="1">
        <v>3.0700000000000002E-2</v>
      </c>
      <c r="G2950" s="1">
        <v>8.6999999999999994E-3</v>
      </c>
      <c r="H2950" s="1">
        <v>8.0299999999999996E-2</v>
      </c>
      <c r="I2950" s="1">
        <v>0.80800000000000005</v>
      </c>
      <c r="J2950" s="1">
        <v>3.0999999999999999E-3</v>
      </c>
      <c r="K2950" s="1">
        <v>6.9099999999999995E-2</v>
      </c>
    </row>
    <row r="2951" spans="1:11" x14ac:dyDescent="0.25">
      <c r="A2951" t="s">
        <v>203</v>
      </c>
      <c r="B2951" t="s">
        <v>210</v>
      </c>
      <c r="C2951">
        <v>367</v>
      </c>
      <c r="D2951" t="s">
        <v>200</v>
      </c>
      <c r="E2951">
        <v>2621</v>
      </c>
      <c r="F2951" s="1">
        <v>3.4000000000000002E-2</v>
      </c>
      <c r="G2951" s="1">
        <v>8.6999999999999994E-3</v>
      </c>
      <c r="H2951" s="1">
        <v>6.1999999999999998E-3</v>
      </c>
      <c r="I2951" s="1">
        <v>0.92490000000000006</v>
      </c>
      <c r="K2951" s="1">
        <v>2.6200000000000001E-2</v>
      </c>
    </row>
    <row r="2952" spans="1:11" x14ac:dyDescent="0.25">
      <c r="A2952" t="s">
        <v>203</v>
      </c>
      <c r="B2952" t="s">
        <v>209</v>
      </c>
      <c r="C2952">
        <v>136</v>
      </c>
      <c r="D2952" t="s">
        <v>200</v>
      </c>
      <c r="E2952">
        <v>2621</v>
      </c>
      <c r="F2952" s="1">
        <v>0.01</v>
      </c>
      <c r="G2952" s="1">
        <v>2.0000000000000001E-4</v>
      </c>
      <c r="H2952" s="1">
        <v>0.03</v>
      </c>
      <c r="I2952" s="1">
        <v>0.91590000000000005</v>
      </c>
      <c r="K2952" s="1">
        <v>4.3999999999999997E-2</v>
      </c>
    </row>
    <row r="2953" spans="1:11" x14ac:dyDescent="0.25">
      <c r="A2953" t="s">
        <v>203</v>
      </c>
      <c r="B2953" t="s">
        <v>209</v>
      </c>
      <c r="C2953">
        <v>86</v>
      </c>
      <c r="D2953" t="s">
        <v>201</v>
      </c>
      <c r="E2953">
        <v>2621</v>
      </c>
      <c r="F2953" s="1">
        <v>2.24E-2</v>
      </c>
      <c r="G2953" s="1">
        <v>4.4000000000000003E-3</v>
      </c>
      <c r="H2953" s="1">
        <v>0.1124</v>
      </c>
      <c r="I2953" s="1">
        <v>0.81289999999999996</v>
      </c>
      <c r="K2953" s="1">
        <v>4.7899999999999998E-2</v>
      </c>
    </row>
    <row r="2954" spans="1:11" x14ac:dyDescent="0.25">
      <c r="A2954" t="s">
        <v>203</v>
      </c>
      <c r="B2954" t="s">
        <v>210</v>
      </c>
      <c r="C2954">
        <v>235</v>
      </c>
      <c r="D2954" t="s">
        <v>201</v>
      </c>
      <c r="E2954">
        <v>2621</v>
      </c>
      <c r="F2954" s="1">
        <v>0.04</v>
      </c>
      <c r="G2954" s="1">
        <v>2.8E-3</v>
      </c>
      <c r="H2954" s="1">
        <v>3.0999999999999999E-3</v>
      </c>
      <c r="I2954" s="1">
        <v>0.87660000000000005</v>
      </c>
      <c r="J2954" s="1">
        <v>1.6999999999999999E-3</v>
      </c>
      <c r="K2954" s="1">
        <v>7.5800000000000006E-2</v>
      </c>
    </row>
    <row r="2955" spans="1:11" s="29" customFormat="1" x14ac:dyDescent="0.25">
      <c r="A2955" s="29" t="s">
        <v>203</v>
      </c>
      <c r="B2955" s="29" t="s">
        <v>209</v>
      </c>
      <c r="C2955" s="29">
        <v>27</v>
      </c>
      <c r="D2955" s="29" t="s">
        <v>202</v>
      </c>
      <c r="E2955" s="29">
        <v>2621</v>
      </c>
      <c r="H2955" s="30">
        <v>3.5799999999999998E-2</v>
      </c>
      <c r="I2955" s="30">
        <v>0.92710000000000004</v>
      </c>
      <c r="J2955" s="30">
        <v>3.6999999999999998E-2</v>
      </c>
    </row>
    <row r="2956" spans="1:11" x14ac:dyDescent="0.25">
      <c r="A2956" t="s">
        <v>203</v>
      </c>
      <c r="B2956" t="s">
        <v>210</v>
      </c>
      <c r="C2956">
        <v>63</v>
      </c>
      <c r="D2956" t="s">
        <v>202</v>
      </c>
      <c r="E2956">
        <v>2621</v>
      </c>
      <c r="G2956" s="1">
        <v>1.3299999999999999E-2</v>
      </c>
      <c r="H2956" s="1">
        <v>6.4600000000000005E-2</v>
      </c>
      <c r="I2956" s="1">
        <v>0.87560000000000004</v>
      </c>
      <c r="K2956" s="1">
        <v>4.6399999999999997E-2</v>
      </c>
    </row>
    <row r="2957" spans="1:11" x14ac:dyDescent="0.25">
      <c r="A2957" t="s">
        <v>204</v>
      </c>
      <c r="B2957" t="s">
        <v>204</v>
      </c>
      <c r="C2957">
        <v>2621</v>
      </c>
      <c r="D2957" t="s">
        <v>204</v>
      </c>
      <c r="E2957">
        <v>2621</v>
      </c>
      <c r="F2957" s="1">
        <v>3.7600000000000001E-2</v>
      </c>
      <c r="G2957" s="1">
        <v>1.0200000000000001E-2</v>
      </c>
      <c r="H2957" s="1">
        <v>3.1E-2</v>
      </c>
      <c r="I2957" s="1">
        <v>0.86099999999999999</v>
      </c>
      <c r="J2957" s="1">
        <v>2.0999999999999999E-3</v>
      </c>
      <c r="K2957" s="1">
        <v>5.8099999999999999E-2</v>
      </c>
    </row>
    <row r="2959" spans="1:11" x14ac:dyDescent="0.25">
      <c r="A2959" t="s">
        <v>825</v>
      </c>
    </row>
    <row r="2960" spans="1:11" x14ac:dyDescent="0.25">
      <c r="A2960" t="s">
        <v>190</v>
      </c>
      <c r="B2960" t="s">
        <v>206</v>
      </c>
      <c r="C2960" t="s">
        <v>195</v>
      </c>
      <c r="D2960" t="s">
        <v>189</v>
      </c>
      <c r="E2960" t="s">
        <v>196</v>
      </c>
      <c r="F2960" t="s">
        <v>819</v>
      </c>
      <c r="G2960" t="s">
        <v>820</v>
      </c>
      <c r="H2960" t="s">
        <v>821</v>
      </c>
      <c r="I2960" t="s">
        <v>822</v>
      </c>
      <c r="J2960" t="s">
        <v>215</v>
      </c>
      <c r="K2960" t="s">
        <v>823</v>
      </c>
    </row>
    <row r="2961" spans="1:11" x14ac:dyDescent="0.25">
      <c r="A2961" t="s">
        <v>198</v>
      </c>
      <c r="B2961" t="s">
        <v>228</v>
      </c>
      <c r="C2961">
        <v>33</v>
      </c>
      <c r="D2961" t="s">
        <v>197</v>
      </c>
      <c r="E2961">
        <v>2621</v>
      </c>
      <c r="F2961" s="1">
        <v>3.1800000000000002E-2</v>
      </c>
      <c r="G2961" s="1">
        <v>2.5600000000000001E-2</v>
      </c>
      <c r="I2961" s="1">
        <v>0.94259999999999999</v>
      </c>
    </row>
    <row r="2962" spans="1:11" x14ac:dyDescent="0.25">
      <c r="A2962" t="s">
        <v>198</v>
      </c>
      <c r="B2962" t="s">
        <v>229</v>
      </c>
      <c r="C2962">
        <v>48</v>
      </c>
      <c r="D2962" t="s">
        <v>197</v>
      </c>
      <c r="E2962">
        <v>2621</v>
      </c>
      <c r="F2962" s="1">
        <v>3.32E-2</v>
      </c>
      <c r="I2962" s="1">
        <v>0.96679999999999999</v>
      </c>
    </row>
    <row r="2963" spans="1:11" x14ac:dyDescent="0.25">
      <c r="A2963" t="s">
        <v>198</v>
      </c>
      <c r="B2963" t="s">
        <v>228</v>
      </c>
      <c r="C2963">
        <v>144</v>
      </c>
      <c r="D2963" t="s">
        <v>199</v>
      </c>
      <c r="E2963">
        <v>2621</v>
      </c>
      <c r="F2963" s="1">
        <v>4.6100000000000002E-2</v>
      </c>
      <c r="G2963" s="1">
        <v>1.6199999999999999E-2</v>
      </c>
      <c r="H2963" s="1">
        <v>6.2600000000000003E-2</v>
      </c>
      <c r="I2963" s="1">
        <v>0.77229999999999999</v>
      </c>
      <c r="J2963" s="1">
        <v>3.3999999999999998E-3</v>
      </c>
      <c r="K2963" s="1">
        <v>9.9199999999999997E-2</v>
      </c>
    </row>
    <row r="2964" spans="1:11" x14ac:dyDescent="0.25">
      <c r="A2964" t="s">
        <v>198</v>
      </c>
      <c r="B2964" t="s">
        <v>229</v>
      </c>
      <c r="C2964">
        <v>211</v>
      </c>
      <c r="D2964" t="s">
        <v>199</v>
      </c>
      <c r="E2964">
        <v>2621</v>
      </c>
      <c r="F2964" s="1">
        <v>2.35E-2</v>
      </c>
      <c r="G2964" s="1">
        <v>1.0500000000000001E-2</v>
      </c>
      <c r="H2964" s="1">
        <v>3.2899999999999999E-2</v>
      </c>
      <c r="I2964" s="1">
        <v>0.81569999999999998</v>
      </c>
      <c r="K2964" s="1">
        <v>0.1173</v>
      </c>
    </row>
    <row r="2965" spans="1:11" x14ac:dyDescent="0.25">
      <c r="A2965" t="s">
        <v>198</v>
      </c>
      <c r="B2965" t="s">
        <v>229</v>
      </c>
      <c r="C2965">
        <v>269</v>
      </c>
      <c r="D2965" t="s">
        <v>200</v>
      </c>
      <c r="E2965">
        <v>2621</v>
      </c>
      <c r="F2965" s="1">
        <v>5.7500000000000002E-2</v>
      </c>
      <c r="G2965" s="1">
        <v>1.7299999999999999E-2</v>
      </c>
      <c r="H2965" s="1">
        <v>8.6E-3</v>
      </c>
      <c r="I2965" s="1">
        <v>0.83899999999999997</v>
      </c>
      <c r="J2965" s="1">
        <v>6.0000000000000001E-3</v>
      </c>
      <c r="K2965" s="1">
        <v>7.1599999999999997E-2</v>
      </c>
    </row>
    <row r="2966" spans="1:11" x14ac:dyDescent="0.25">
      <c r="A2966" t="s">
        <v>198</v>
      </c>
      <c r="B2966" t="s">
        <v>228</v>
      </c>
      <c r="C2966">
        <v>111</v>
      </c>
      <c r="D2966" t="s">
        <v>200</v>
      </c>
      <c r="E2966">
        <v>2621</v>
      </c>
      <c r="F2966" s="1">
        <v>0.10299999999999999</v>
      </c>
      <c r="G2966" s="1">
        <v>1.21E-2</v>
      </c>
      <c r="H2966" s="1">
        <v>2.0299999999999999E-2</v>
      </c>
      <c r="I2966" s="1">
        <v>0.81340000000000001</v>
      </c>
      <c r="J2966" s="1">
        <v>2.01E-2</v>
      </c>
      <c r="K2966" s="1">
        <v>3.1199999999999999E-2</v>
      </c>
    </row>
    <row r="2967" spans="1:11" x14ac:dyDescent="0.25">
      <c r="A2967" t="s">
        <v>198</v>
      </c>
      <c r="B2967" t="s">
        <v>228</v>
      </c>
      <c r="C2967">
        <v>94</v>
      </c>
      <c r="D2967" t="s">
        <v>201</v>
      </c>
      <c r="E2967">
        <v>2621</v>
      </c>
      <c r="F2967" s="1">
        <v>0.10249999999999999</v>
      </c>
      <c r="H2967" s="1">
        <v>2.2499999999999999E-2</v>
      </c>
      <c r="I2967" s="1">
        <v>0.81599999999999995</v>
      </c>
      <c r="K2967" s="1">
        <v>5.8999999999999997E-2</v>
      </c>
    </row>
    <row r="2968" spans="1:11" x14ac:dyDescent="0.25">
      <c r="A2968" t="s">
        <v>198</v>
      </c>
      <c r="B2968" t="s">
        <v>229</v>
      </c>
      <c r="C2968">
        <v>154</v>
      </c>
      <c r="D2968" t="s">
        <v>201</v>
      </c>
      <c r="E2968">
        <v>2621</v>
      </c>
      <c r="F2968" s="1">
        <v>6.4699999999999994E-2</v>
      </c>
      <c r="G2968" s="1">
        <v>3.1300000000000001E-2</v>
      </c>
      <c r="H2968" s="1">
        <v>3.4099999999999998E-2</v>
      </c>
      <c r="I2968" s="1">
        <v>0.82289999999999996</v>
      </c>
      <c r="K2968" s="1">
        <v>4.7E-2</v>
      </c>
    </row>
    <row r="2969" spans="1:11" s="29" customFormat="1" x14ac:dyDescent="0.25">
      <c r="A2969" s="29" t="s">
        <v>198</v>
      </c>
      <c r="B2969" s="29" t="s">
        <v>228</v>
      </c>
      <c r="C2969" s="29">
        <v>28</v>
      </c>
      <c r="D2969" s="29" t="s">
        <v>202</v>
      </c>
      <c r="E2969" s="29">
        <v>2621</v>
      </c>
      <c r="G2969" s="30">
        <v>1.0699999999999999E-2</v>
      </c>
      <c r="H2969" s="30">
        <v>0.18579999999999999</v>
      </c>
      <c r="I2969" s="30">
        <v>0.70569999999999999</v>
      </c>
      <c r="K2969" s="30">
        <v>9.7799999999999998E-2</v>
      </c>
    </row>
    <row r="2970" spans="1:11" x14ac:dyDescent="0.25">
      <c r="A2970" t="s">
        <v>198</v>
      </c>
      <c r="B2970" t="s">
        <v>229</v>
      </c>
      <c r="C2970">
        <v>67</v>
      </c>
      <c r="D2970" t="s">
        <v>202</v>
      </c>
      <c r="E2970">
        <v>2621</v>
      </c>
      <c r="F2970" s="1">
        <v>6.6699999999999995E-2</v>
      </c>
      <c r="G2970" s="1">
        <v>1.0800000000000001E-2</v>
      </c>
      <c r="I2970" s="1">
        <v>0.78680000000000005</v>
      </c>
      <c r="K2970" s="1">
        <v>0.1356</v>
      </c>
    </row>
    <row r="2971" spans="1:11" x14ac:dyDescent="0.25">
      <c r="A2971" t="s">
        <v>203</v>
      </c>
      <c r="B2971" t="s">
        <v>229</v>
      </c>
      <c r="C2971">
        <v>368</v>
      </c>
      <c r="D2971" t="s">
        <v>199</v>
      </c>
      <c r="E2971">
        <v>2621</v>
      </c>
      <c r="F2971" s="1">
        <v>2.41E-2</v>
      </c>
      <c r="G2971" s="1">
        <v>7.1000000000000004E-3</v>
      </c>
      <c r="H2971" s="1">
        <v>8.0199999999999994E-2</v>
      </c>
      <c r="I2971" s="1">
        <v>0.83979999999999999</v>
      </c>
      <c r="J2971" s="1">
        <v>2.5999999999999999E-3</v>
      </c>
      <c r="K2971" s="1">
        <v>4.6300000000000001E-2</v>
      </c>
    </row>
    <row r="2972" spans="1:11" x14ac:dyDescent="0.25">
      <c r="A2972" t="s">
        <v>203</v>
      </c>
      <c r="B2972" t="s">
        <v>228</v>
      </c>
      <c r="C2972">
        <v>149</v>
      </c>
      <c r="D2972" t="s">
        <v>199</v>
      </c>
      <c r="E2972">
        <v>2621</v>
      </c>
      <c r="F2972" s="1">
        <v>0.13750000000000001</v>
      </c>
      <c r="G2972" s="1">
        <v>2.5700000000000001E-2</v>
      </c>
      <c r="H2972" s="1">
        <v>2.6100000000000002E-2</v>
      </c>
      <c r="I2972" s="1">
        <v>0.70050000000000001</v>
      </c>
      <c r="K2972" s="1">
        <v>0.11020000000000001</v>
      </c>
    </row>
    <row r="2973" spans="1:11" x14ac:dyDescent="0.25">
      <c r="A2973" t="s">
        <v>203</v>
      </c>
      <c r="B2973" t="s">
        <v>229</v>
      </c>
      <c r="C2973">
        <v>347</v>
      </c>
      <c r="D2973" t="s">
        <v>200</v>
      </c>
      <c r="E2973">
        <v>2621</v>
      </c>
      <c r="F2973" s="1">
        <v>2.18E-2</v>
      </c>
      <c r="G2973" s="1">
        <v>7.4000000000000003E-3</v>
      </c>
      <c r="H2973" s="1">
        <v>1.21E-2</v>
      </c>
      <c r="I2973" s="1">
        <v>0.92469999999999997</v>
      </c>
      <c r="K2973" s="1">
        <v>3.39E-2</v>
      </c>
    </row>
    <row r="2974" spans="1:11" x14ac:dyDescent="0.25">
      <c r="A2974" t="s">
        <v>203</v>
      </c>
      <c r="B2974" t="s">
        <v>228</v>
      </c>
      <c r="C2974">
        <v>155</v>
      </c>
      <c r="D2974" t="s">
        <v>200</v>
      </c>
      <c r="E2974">
        <v>2621</v>
      </c>
      <c r="F2974" s="1">
        <v>4.5100000000000001E-2</v>
      </c>
      <c r="H2974" s="1">
        <v>2.0899999999999998E-2</v>
      </c>
      <c r="I2974" s="1">
        <v>0.91049999999999998</v>
      </c>
      <c r="K2974" s="1">
        <v>2.35E-2</v>
      </c>
    </row>
    <row r="2975" spans="1:11" x14ac:dyDescent="0.25">
      <c r="A2975" t="s">
        <v>203</v>
      </c>
      <c r="B2975" t="s">
        <v>229</v>
      </c>
      <c r="C2975">
        <v>137</v>
      </c>
      <c r="D2975" t="s">
        <v>201</v>
      </c>
      <c r="E2975">
        <v>2621</v>
      </c>
      <c r="F2975" s="1">
        <v>1.8499999999999999E-2</v>
      </c>
      <c r="G2975" s="1">
        <v>3.0999999999999999E-3</v>
      </c>
      <c r="H2975" s="1">
        <v>4.7300000000000002E-2</v>
      </c>
      <c r="I2975" s="1">
        <v>0.84970000000000001</v>
      </c>
      <c r="K2975" s="1">
        <v>8.14E-2</v>
      </c>
    </row>
    <row r="2976" spans="1:11" x14ac:dyDescent="0.25">
      <c r="A2976" t="s">
        <v>203</v>
      </c>
      <c r="B2976" t="s">
        <v>228</v>
      </c>
      <c r="C2976">
        <v>177</v>
      </c>
      <c r="D2976" t="s">
        <v>201</v>
      </c>
      <c r="E2976">
        <v>2621</v>
      </c>
      <c r="F2976" s="1">
        <v>8.5199999999999998E-2</v>
      </c>
      <c r="G2976" s="1">
        <v>4.1000000000000003E-3</v>
      </c>
      <c r="H2976" s="1">
        <v>4.0000000000000001E-3</v>
      </c>
      <c r="I2976" s="1">
        <v>0.88</v>
      </c>
      <c r="J2976" s="1">
        <v>4.8999999999999998E-3</v>
      </c>
      <c r="K2976" s="1">
        <v>2.18E-2</v>
      </c>
    </row>
    <row r="2977" spans="1:11" x14ac:dyDescent="0.25">
      <c r="A2977" t="s">
        <v>203</v>
      </c>
      <c r="B2977" t="s">
        <v>228</v>
      </c>
      <c r="C2977">
        <v>34</v>
      </c>
      <c r="D2977" t="s">
        <v>202</v>
      </c>
      <c r="E2977">
        <v>2621</v>
      </c>
      <c r="H2977" s="1">
        <v>0.12089999999999999</v>
      </c>
      <c r="I2977" s="1">
        <v>0.86160000000000003</v>
      </c>
      <c r="K2977" s="1">
        <v>1.7500000000000002E-2</v>
      </c>
    </row>
    <row r="2978" spans="1:11" x14ac:dyDescent="0.25">
      <c r="A2978" t="s">
        <v>203</v>
      </c>
      <c r="B2978" t="s">
        <v>229</v>
      </c>
      <c r="C2978">
        <v>56</v>
      </c>
      <c r="D2978" t="s">
        <v>202</v>
      </c>
      <c r="E2978">
        <v>2621</v>
      </c>
      <c r="G2978" s="1">
        <v>1.35E-2</v>
      </c>
      <c r="H2978" s="1">
        <v>3.1399999999999997E-2</v>
      </c>
      <c r="I2978" s="1">
        <v>0.90100000000000002</v>
      </c>
      <c r="J2978" s="1">
        <v>1.43E-2</v>
      </c>
      <c r="K2978" s="1">
        <v>3.9899999999999998E-2</v>
      </c>
    </row>
    <row r="2979" spans="1:11" x14ac:dyDescent="0.25">
      <c r="A2979" t="s">
        <v>204</v>
      </c>
      <c r="B2979" t="s">
        <v>204</v>
      </c>
      <c r="C2979">
        <v>2621</v>
      </c>
      <c r="D2979" t="s">
        <v>204</v>
      </c>
      <c r="E2979">
        <v>2621</v>
      </c>
      <c r="F2979" s="1">
        <v>3.7600000000000001E-2</v>
      </c>
      <c r="G2979" s="1">
        <v>1.0200000000000001E-2</v>
      </c>
      <c r="H2979" s="1">
        <v>3.1E-2</v>
      </c>
      <c r="I2979" s="1">
        <v>0.86099999999999999</v>
      </c>
      <c r="J2979" s="1">
        <v>2.0999999999999999E-3</v>
      </c>
      <c r="K2979" s="1">
        <v>5.8099999999999999E-2</v>
      </c>
    </row>
    <row r="2981" spans="1:11" x14ac:dyDescent="0.25">
      <c r="A2981" t="s">
        <v>826</v>
      </c>
    </row>
    <row r="2982" spans="1:11" x14ac:dyDescent="0.25">
      <c r="A2982" t="s">
        <v>190</v>
      </c>
      <c r="B2982" t="s">
        <v>206</v>
      </c>
      <c r="C2982" t="s">
        <v>195</v>
      </c>
      <c r="D2982" t="s">
        <v>189</v>
      </c>
      <c r="E2982" t="s">
        <v>196</v>
      </c>
      <c r="F2982" t="s">
        <v>819</v>
      </c>
      <c r="G2982" t="s">
        <v>820</v>
      </c>
      <c r="H2982" t="s">
        <v>821</v>
      </c>
      <c r="I2982" t="s">
        <v>822</v>
      </c>
      <c r="J2982" t="s">
        <v>215</v>
      </c>
      <c r="K2982" t="s">
        <v>823</v>
      </c>
    </row>
    <row r="2983" spans="1:11" x14ac:dyDescent="0.25">
      <c r="A2983" t="s">
        <v>198</v>
      </c>
      <c r="B2983" t="s">
        <v>348</v>
      </c>
      <c r="C2983">
        <v>78</v>
      </c>
      <c r="D2983" t="s">
        <v>197</v>
      </c>
      <c r="E2983">
        <v>2621</v>
      </c>
      <c r="F2983" s="1">
        <v>3.3799999999999997E-2</v>
      </c>
      <c r="G2983" s="1">
        <v>1.15E-2</v>
      </c>
      <c r="I2983" s="1">
        <v>0.95469999999999999</v>
      </c>
    </row>
    <row r="2984" spans="1:11" s="29" customFormat="1" x14ac:dyDescent="0.25">
      <c r="A2984" s="29" t="s">
        <v>198</v>
      </c>
      <c r="B2984" s="29" t="s">
        <v>349</v>
      </c>
      <c r="C2984" s="29">
        <v>3</v>
      </c>
      <c r="D2984" s="29" t="s">
        <v>197</v>
      </c>
      <c r="E2984" s="29">
        <v>2621</v>
      </c>
      <c r="I2984" s="30">
        <v>1</v>
      </c>
    </row>
    <row r="2985" spans="1:11" x14ac:dyDescent="0.25">
      <c r="A2985" t="s">
        <v>198</v>
      </c>
      <c r="B2985" t="s">
        <v>348</v>
      </c>
      <c r="C2985">
        <v>54</v>
      </c>
      <c r="D2985" t="s">
        <v>199</v>
      </c>
      <c r="E2985">
        <v>2621</v>
      </c>
      <c r="F2985" s="1">
        <v>2.2100000000000002E-2</v>
      </c>
      <c r="I2985" s="1">
        <v>0.95940000000000003</v>
      </c>
      <c r="K2985" s="1">
        <v>1.8499999999999999E-2</v>
      </c>
    </row>
    <row r="2986" spans="1:11" x14ac:dyDescent="0.25">
      <c r="A2986" t="s">
        <v>198</v>
      </c>
      <c r="B2986" t="s">
        <v>349</v>
      </c>
      <c r="C2986">
        <v>110</v>
      </c>
      <c r="D2986" t="s">
        <v>199</v>
      </c>
      <c r="E2986">
        <v>2621</v>
      </c>
      <c r="F2986" s="1">
        <v>1.9E-2</v>
      </c>
      <c r="G2986" s="1">
        <v>1.18E-2</v>
      </c>
      <c r="H2986" s="1">
        <v>4.8300000000000003E-2</v>
      </c>
      <c r="I2986" s="1">
        <v>0.85909999999999997</v>
      </c>
      <c r="J2986" s="1">
        <v>2E-3</v>
      </c>
      <c r="K2986" s="1">
        <v>5.9700000000000003E-2</v>
      </c>
    </row>
    <row r="2987" spans="1:11" x14ac:dyDescent="0.25">
      <c r="A2987" t="s">
        <v>198</v>
      </c>
      <c r="B2987" t="s">
        <v>350</v>
      </c>
      <c r="C2987">
        <v>191</v>
      </c>
      <c r="D2987" t="s">
        <v>199</v>
      </c>
      <c r="E2987">
        <v>2621</v>
      </c>
      <c r="F2987" s="1">
        <v>4.3400000000000001E-2</v>
      </c>
      <c r="G2987" s="1">
        <v>1.6299999999999999E-2</v>
      </c>
      <c r="H2987" s="1">
        <v>4.5900000000000003E-2</v>
      </c>
      <c r="I2987" s="1">
        <v>0.69020000000000004</v>
      </c>
      <c r="K2987" s="1">
        <v>0.20419999999999999</v>
      </c>
    </row>
    <row r="2988" spans="1:11" x14ac:dyDescent="0.25">
      <c r="A2988" t="s">
        <v>198</v>
      </c>
      <c r="B2988" t="s">
        <v>350</v>
      </c>
      <c r="C2988">
        <v>77</v>
      </c>
      <c r="D2988" t="s">
        <v>200</v>
      </c>
      <c r="E2988">
        <v>2621</v>
      </c>
      <c r="F2988" s="1">
        <v>0.1787</v>
      </c>
      <c r="G2988" s="1">
        <v>1.46E-2</v>
      </c>
      <c r="I2988" s="1">
        <v>0.7006</v>
      </c>
      <c r="K2988" s="1">
        <v>0.1061</v>
      </c>
    </row>
    <row r="2989" spans="1:11" x14ac:dyDescent="0.25">
      <c r="A2989" t="s">
        <v>198</v>
      </c>
      <c r="B2989" t="s">
        <v>348</v>
      </c>
      <c r="C2989">
        <v>241</v>
      </c>
      <c r="D2989" t="s">
        <v>200</v>
      </c>
      <c r="E2989">
        <v>2621</v>
      </c>
      <c r="F2989" s="1">
        <v>6.3500000000000001E-2</v>
      </c>
      <c r="G2989" s="1">
        <v>1.5900000000000001E-2</v>
      </c>
      <c r="H2989" s="1">
        <v>1.1900000000000001E-2</v>
      </c>
      <c r="I2989" s="1">
        <v>0.83779999999999999</v>
      </c>
      <c r="J2989" s="1">
        <v>1.06E-2</v>
      </c>
      <c r="K2989" s="1">
        <v>6.0199999999999997E-2</v>
      </c>
    </row>
    <row r="2990" spans="1:11" x14ac:dyDescent="0.25">
      <c r="A2990" t="s">
        <v>198</v>
      </c>
      <c r="B2990" t="s">
        <v>349</v>
      </c>
      <c r="C2990">
        <v>62</v>
      </c>
      <c r="D2990" t="s">
        <v>200</v>
      </c>
      <c r="E2990">
        <v>2621</v>
      </c>
      <c r="F2990" s="1">
        <v>5.1000000000000004E-3</v>
      </c>
      <c r="G2990" s="1">
        <v>1.9800000000000002E-2</v>
      </c>
      <c r="H2990" s="1">
        <v>1.54E-2</v>
      </c>
      <c r="I2990" s="1">
        <v>0.91949999999999998</v>
      </c>
      <c r="K2990" s="1">
        <v>4.02E-2</v>
      </c>
    </row>
    <row r="2991" spans="1:11" x14ac:dyDescent="0.25">
      <c r="A2991" t="s">
        <v>198</v>
      </c>
      <c r="B2991" t="s">
        <v>349</v>
      </c>
      <c r="C2991">
        <v>123</v>
      </c>
      <c r="D2991" t="s">
        <v>201</v>
      </c>
      <c r="E2991">
        <v>2621</v>
      </c>
      <c r="F2991" s="1">
        <v>7.5899999999999995E-2</v>
      </c>
      <c r="G2991" s="1">
        <v>3.2599999999999997E-2</v>
      </c>
      <c r="H2991" s="1">
        <v>1.9300000000000001E-2</v>
      </c>
      <c r="I2991" s="1">
        <v>0.82650000000000001</v>
      </c>
      <c r="K2991" s="1">
        <v>4.58E-2</v>
      </c>
    </row>
    <row r="2992" spans="1:11" x14ac:dyDescent="0.25">
      <c r="A2992" t="s">
        <v>198</v>
      </c>
      <c r="B2992" t="s">
        <v>350</v>
      </c>
      <c r="C2992">
        <v>63</v>
      </c>
      <c r="D2992" t="s">
        <v>201</v>
      </c>
      <c r="E2992">
        <v>2621</v>
      </c>
      <c r="F2992" s="1">
        <v>8.6499999999999994E-2</v>
      </c>
      <c r="G2992" s="1">
        <v>4.41E-2</v>
      </c>
      <c r="I2992" s="1">
        <v>0.7681</v>
      </c>
      <c r="K2992" s="1">
        <v>0.1012</v>
      </c>
    </row>
    <row r="2993" spans="1:11" x14ac:dyDescent="0.25">
      <c r="A2993" t="s">
        <v>198</v>
      </c>
      <c r="B2993" t="s">
        <v>348</v>
      </c>
      <c r="C2993">
        <v>62</v>
      </c>
      <c r="D2993" t="s">
        <v>201</v>
      </c>
      <c r="E2993">
        <v>2621</v>
      </c>
      <c r="F2993" s="1">
        <v>6.2300000000000001E-2</v>
      </c>
      <c r="H2993" s="1">
        <v>6.9500000000000006E-2</v>
      </c>
      <c r="I2993" s="1">
        <v>0.81740000000000002</v>
      </c>
      <c r="K2993" s="1">
        <v>5.0799999999999998E-2</v>
      </c>
    </row>
    <row r="2994" spans="1:11" x14ac:dyDescent="0.25">
      <c r="A2994" t="s">
        <v>198</v>
      </c>
      <c r="B2994" t="s">
        <v>348</v>
      </c>
      <c r="C2994">
        <v>95</v>
      </c>
      <c r="D2994" t="s">
        <v>202</v>
      </c>
      <c r="E2994">
        <v>2621</v>
      </c>
      <c r="F2994" s="1">
        <v>5.0500000000000003E-2</v>
      </c>
      <c r="G2994" s="1">
        <v>1.0800000000000001E-2</v>
      </c>
      <c r="H2994" s="1">
        <v>4.5100000000000001E-2</v>
      </c>
      <c r="I2994" s="1">
        <v>0.76719999999999999</v>
      </c>
      <c r="K2994" s="1">
        <v>0.1265</v>
      </c>
    </row>
    <row r="2995" spans="1:11" x14ac:dyDescent="0.25">
      <c r="A2995" t="s">
        <v>203</v>
      </c>
      <c r="B2995" t="s">
        <v>349</v>
      </c>
      <c r="C2995">
        <v>171</v>
      </c>
      <c r="D2995" t="s">
        <v>199</v>
      </c>
      <c r="E2995">
        <v>2621</v>
      </c>
      <c r="F2995" s="1">
        <v>4.8599999999999997E-2</v>
      </c>
      <c r="G2995" s="1">
        <v>1.5699999999999999E-2</v>
      </c>
      <c r="H2995" s="1">
        <v>0.1348</v>
      </c>
      <c r="I2995" s="1">
        <v>0.78849999999999998</v>
      </c>
      <c r="K2995" s="1">
        <v>1.24E-2</v>
      </c>
    </row>
    <row r="2996" spans="1:11" x14ac:dyDescent="0.25">
      <c r="A2996" t="s">
        <v>203</v>
      </c>
      <c r="B2996" t="s">
        <v>348</v>
      </c>
      <c r="C2996">
        <v>42</v>
      </c>
      <c r="D2996" t="s">
        <v>199</v>
      </c>
      <c r="E2996">
        <v>2621</v>
      </c>
      <c r="H2996" s="1">
        <v>0.11749999999999999</v>
      </c>
      <c r="I2996" s="1">
        <v>0.85760000000000003</v>
      </c>
      <c r="K2996" s="1">
        <v>2.5000000000000001E-2</v>
      </c>
    </row>
    <row r="2997" spans="1:11" x14ac:dyDescent="0.25">
      <c r="A2997" t="s">
        <v>203</v>
      </c>
      <c r="B2997" t="s">
        <v>350</v>
      </c>
      <c r="C2997">
        <v>304</v>
      </c>
      <c r="D2997" t="s">
        <v>199</v>
      </c>
      <c r="E2997">
        <v>2621</v>
      </c>
      <c r="F2997" s="1">
        <v>3.1899999999999998E-2</v>
      </c>
      <c r="G2997" s="1">
        <v>6.1999999999999998E-3</v>
      </c>
      <c r="H2997" s="1">
        <v>4.07E-2</v>
      </c>
      <c r="I2997" s="1">
        <v>0.84189999999999998</v>
      </c>
      <c r="J2997" s="1">
        <v>3.5999999999999999E-3</v>
      </c>
      <c r="K2997" s="1">
        <v>7.5700000000000003E-2</v>
      </c>
    </row>
    <row r="2998" spans="1:11" x14ac:dyDescent="0.25">
      <c r="A2998" t="s">
        <v>203</v>
      </c>
      <c r="B2998" t="s">
        <v>348</v>
      </c>
      <c r="C2998">
        <v>300</v>
      </c>
      <c r="D2998" t="s">
        <v>200</v>
      </c>
      <c r="E2998">
        <v>2621</v>
      </c>
      <c r="F2998" s="1">
        <v>1.9699999999999999E-2</v>
      </c>
      <c r="G2998" s="1">
        <v>3.7000000000000002E-3</v>
      </c>
      <c r="H2998" s="1">
        <v>1.49E-2</v>
      </c>
      <c r="I2998" s="1">
        <v>0.92810000000000004</v>
      </c>
      <c r="K2998" s="1">
        <v>3.3700000000000001E-2</v>
      </c>
    </row>
    <row r="2999" spans="1:11" x14ac:dyDescent="0.25">
      <c r="A2999" t="s">
        <v>203</v>
      </c>
      <c r="B2999" t="s">
        <v>349</v>
      </c>
      <c r="C2999">
        <v>108</v>
      </c>
      <c r="D2999" t="s">
        <v>200</v>
      </c>
      <c r="E2999">
        <v>2621</v>
      </c>
      <c r="F2999" s="1">
        <v>5.3999999999999999E-2</v>
      </c>
      <c r="G2999" s="1">
        <v>8.0000000000000004E-4</v>
      </c>
      <c r="H2999" s="1">
        <v>7.9000000000000008E-3</v>
      </c>
      <c r="I2999" s="1">
        <v>0.92059999999999997</v>
      </c>
      <c r="K2999" s="1">
        <v>1.67E-2</v>
      </c>
    </row>
    <row r="3000" spans="1:11" x14ac:dyDescent="0.25">
      <c r="A3000" t="s">
        <v>203</v>
      </c>
      <c r="B3000" t="s">
        <v>350</v>
      </c>
      <c r="C3000">
        <v>94</v>
      </c>
      <c r="D3000" t="s">
        <v>200</v>
      </c>
      <c r="E3000">
        <v>2621</v>
      </c>
      <c r="F3000" s="1">
        <v>0.13619999999999999</v>
      </c>
      <c r="G3000" s="1">
        <v>7.9200000000000007E-2</v>
      </c>
      <c r="I3000" s="1">
        <v>0.76229999999999998</v>
      </c>
      <c r="K3000" s="1">
        <v>2.23E-2</v>
      </c>
    </row>
    <row r="3001" spans="1:11" x14ac:dyDescent="0.25">
      <c r="A3001" t="s">
        <v>203</v>
      </c>
      <c r="B3001" t="s">
        <v>348</v>
      </c>
      <c r="C3001">
        <v>62</v>
      </c>
      <c r="D3001" t="s">
        <v>201</v>
      </c>
      <c r="E3001">
        <v>2621</v>
      </c>
      <c r="F3001" s="1">
        <v>9.2200000000000004E-2</v>
      </c>
      <c r="H3001" s="1">
        <v>5.1999999999999998E-3</v>
      </c>
      <c r="I3001" s="1">
        <v>0.84519999999999995</v>
      </c>
      <c r="K3001" s="1">
        <v>5.74E-2</v>
      </c>
    </row>
    <row r="3002" spans="1:11" x14ac:dyDescent="0.25">
      <c r="A3002" t="s">
        <v>203</v>
      </c>
      <c r="B3002" t="s">
        <v>349</v>
      </c>
      <c r="C3002">
        <v>147</v>
      </c>
      <c r="D3002" t="s">
        <v>201</v>
      </c>
      <c r="E3002">
        <v>2621</v>
      </c>
      <c r="F3002" s="1">
        <v>1.7500000000000002E-2</v>
      </c>
      <c r="G3002" s="1">
        <v>5.0000000000000001E-4</v>
      </c>
      <c r="H3002" s="1">
        <v>4.2599999999999999E-2</v>
      </c>
      <c r="I3002" s="1">
        <v>0.86770000000000003</v>
      </c>
      <c r="K3002" s="1">
        <v>7.17E-2</v>
      </c>
    </row>
    <row r="3003" spans="1:11" x14ac:dyDescent="0.25">
      <c r="A3003" t="s">
        <v>203</v>
      </c>
      <c r="B3003" t="s">
        <v>350</v>
      </c>
      <c r="C3003">
        <v>105</v>
      </c>
      <c r="D3003" t="s">
        <v>201</v>
      </c>
      <c r="E3003">
        <v>2621</v>
      </c>
      <c r="F3003" s="1">
        <v>0.1384</v>
      </c>
      <c r="G3003" s="1">
        <v>4.07E-2</v>
      </c>
      <c r="H3003" s="1">
        <v>2.1700000000000001E-2</v>
      </c>
      <c r="I3003" s="1">
        <v>0.75290000000000001</v>
      </c>
      <c r="J3003" s="1">
        <v>1.6199999999999999E-2</v>
      </c>
      <c r="K3003" s="1">
        <v>0.03</v>
      </c>
    </row>
    <row r="3004" spans="1:11" x14ac:dyDescent="0.25">
      <c r="A3004" t="s">
        <v>203</v>
      </c>
      <c r="B3004" t="s">
        <v>348</v>
      </c>
      <c r="C3004">
        <v>90</v>
      </c>
      <c r="D3004" t="s">
        <v>202</v>
      </c>
      <c r="E3004">
        <v>2621</v>
      </c>
      <c r="G3004" s="1">
        <v>9.5999999999999992E-3</v>
      </c>
      <c r="H3004" s="1">
        <v>5.67E-2</v>
      </c>
      <c r="I3004" s="1">
        <v>0.88990000000000002</v>
      </c>
      <c r="J3004" s="1">
        <v>1.0200000000000001E-2</v>
      </c>
      <c r="K3004" s="1">
        <v>3.3599999999999998E-2</v>
      </c>
    </row>
    <row r="3005" spans="1:11" x14ac:dyDescent="0.25">
      <c r="A3005" t="s">
        <v>204</v>
      </c>
      <c r="B3005" t="s">
        <v>204</v>
      </c>
      <c r="C3005">
        <v>2621</v>
      </c>
      <c r="D3005" t="s">
        <v>204</v>
      </c>
      <c r="E3005">
        <v>2621</v>
      </c>
      <c r="F3005" s="1">
        <v>3.7600000000000001E-2</v>
      </c>
      <c r="G3005" s="1">
        <v>1.0200000000000001E-2</v>
      </c>
      <c r="H3005" s="1">
        <v>3.1E-2</v>
      </c>
      <c r="I3005" s="1">
        <v>0.86099999999999999</v>
      </c>
      <c r="J3005" s="1">
        <v>2.0999999999999999E-3</v>
      </c>
      <c r="K3005" s="1">
        <v>5.8099999999999999E-2</v>
      </c>
    </row>
    <row r="3007" spans="1:11" x14ac:dyDescent="0.25">
      <c r="A3007" t="s">
        <v>827</v>
      </c>
    </row>
    <row r="3008" spans="1:11" x14ac:dyDescent="0.25">
      <c r="A3008" t="s">
        <v>190</v>
      </c>
      <c r="B3008" t="s">
        <v>195</v>
      </c>
      <c r="C3008" t="s">
        <v>189</v>
      </c>
      <c r="D3008" t="s">
        <v>196</v>
      </c>
      <c r="E3008" t="s">
        <v>819</v>
      </c>
      <c r="F3008" t="s">
        <v>820</v>
      </c>
      <c r="G3008" t="s">
        <v>821</v>
      </c>
      <c r="H3008" t="s">
        <v>822</v>
      </c>
      <c r="I3008" t="s">
        <v>215</v>
      </c>
      <c r="J3008" t="s">
        <v>823</v>
      </c>
    </row>
    <row r="3009" spans="1:11" x14ac:dyDescent="0.25">
      <c r="A3009" t="s">
        <v>198</v>
      </c>
      <c r="B3009">
        <v>82</v>
      </c>
      <c r="C3009" t="s">
        <v>197</v>
      </c>
      <c r="D3009">
        <v>2625</v>
      </c>
      <c r="E3009" s="1">
        <v>0.1166</v>
      </c>
      <c r="G3009" s="1">
        <v>6.54E-2</v>
      </c>
      <c r="H3009" s="1">
        <v>0.58789999999999998</v>
      </c>
      <c r="J3009" s="1">
        <v>0.23019999999999999</v>
      </c>
    </row>
    <row r="3010" spans="1:11" x14ac:dyDescent="0.25">
      <c r="A3010" t="s">
        <v>198</v>
      </c>
      <c r="B3010">
        <v>368</v>
      </c>
      <c r="C3010" t="s">
        <v>199</v>
      </c>
      <c r="D3010">
        <v>2625</v>
      </c>
      <c r="E3010" s="1">
        <v>0.23519999999999999</v>
      </c>
      <c r="F3010" s="1">
        <v>4.3799999999999999E-2</v>
      </c>
      <c r="G3010" s="1">
        <v>8.5300000000000001E-2</v>
      </c>
      <c r="H3010" s="1">
        <v>0.27929999999999999</v>
      </c>
      <c r="I3010" s="1">
        <v>1.8499999999999999E-2</v>
      </c>
      <c r="J3010" s="1">
        <v>0.33789999999999998</v>
      </c>
    </row>
    <row r="3011" spans="1:11" x14ac:dyDescent="0.25">
      <c r="A3011" t="s">
        <v>198</v>
      </c>
      <c r="B3011">
        <v>384</v>
      </c>
      <c r="C3011" t="s">
        <v>200</v>
      </c>
      <c r="D3011">
        <v>2625</v>
      </c>
      <c r="E3011" s="1">
        <v>0.17430000000000001</v>
      </c>
      <c r="F3011" s="1">
        <v>2.69E-2</v>
      </c>
      <c r="G3011" s="1">
        <v>0.12189999999999999</v>
      </c>
      <c r="H3011" s="1">
        <v>0.49990000000000001</v>
      </c>
      <c r="I3011" s="1">
        <v>3.3999999999999998E-3</v>
      </c>
      <c r="J3011" s="1">
        <v>0.1736</v>
      </c>
    </row>
    <row r="3012" spans="1:11" x14ac:dyDescent="0.25">
      <c r="A3012" t="s">
        <v>198</v>
      </c>
      <c r="B3012">
        <v>256</v>
      </c>
      <c r="C3012" t="s">
        <v>201</v>
      </c>
      <c r="D3012">
        <v>2625</v>
      </c>
      <c r="E3012" s="1">
        <v>0.2</v>
      </c>
      <c r="F3012" s="1">
        <v>5.1000000000000004E-3</v>
      </c>
      <c r="G3012" s="1">
        <v>0.1217</v>
      </c>
      <c r="H3012" s="1">
        <v>0.4531</v>
      </c>
      <c r="I3012" s="1">
        <v>6.9999999999999999E-4</v>
      </c>
      <c r="J3012" s="1">
        <v>0.2195</v>
      </c>
    </row>
    <row r="3013" spans="1:11" x14ac:dyDescent="0.25">
      <c r="A3013" t="s">
        <v>198</v>
      </c>
      <c r="B3013">
        <v>94</v>
      </c>
      <c r="C3013" t="s">
        <v>202</v>
      </c>
      <c r="D3013">
        <v>2625</v>
      </c>
      <c r="E3013" s="1">
        <v>0.28670000000000001</v>
      </c>
      <c r="F3013" s="1">
        <v>5.5599999999999997E-2</v>
      </c>
      <c r="G3013" s="1">
        <v>0.1048</v>
      </c>
      <c r="H3013" s="1">
        <v>0.378</v>
      </c>
      <c r="I3013" s="1">
        <v>3.3799999999999997E-2</v>
      </c>
      <c r="J3013" s="1">
        <v>0.1411</v>
      </c>
    </row>
    <row r="3014" spans="1:11" x14ac:dyDescent="0.25">
      <c r="A3014" t="s">
        <v>203</v>
      </c>
      <c r="B3014">
        <v>529</v>
      </c>
      <c r="C3014" t="s">
        <v>199</v>
      </c>
      <c r="D3014">
        <v>2625</v>
      </c>
      <c r="E3014" s="1">
        <v>0.32419999999999999</v>
      </c>
      <c r="F3014" s="1">
        <v>1.0699999999999999E-2</v>
      </c>
      <c r="G3014" s="1">
        <v>0.13039999999999999</v>
      </c>
      <c r="H3014" s="1">
        <v>0.14879999999999999</v>
      </c>
      <c r="I3014" s="1">
        <v>1.6999999999999999E-3</v>
      </c>
      <c r="J3014" s="1">
        <v>0.38419999999999999</v>
      </c>
    </row>
    <row r="3015" spans="1:11" x14ac:dyDescent="0.25">
      <c r="A3015" t="s">
        <v>203</v>
      </c>
      <c r="B3015">
        <v>502</v>
      </c>
      <c r="C3015" t="s">
        <v>200</v>
      </c>
      <c r="D3015">
        <v>2625</v>
      </c>
      <c r="E3015" s="1">
        <v>8.9099999999999999E-2</v>
      </c>
      <c r="F3015" s="1">
        <v>2.4899999999999999E-2</v>
      </c>
      <c r="G3015" s="1">
        <v>9.3700000000000006E-2</v>
      </c>
      <c r="H3015" s="1">
        <v>0.67600000000000005</v>
      </c>
      <c r="I3015" s="1">
        <v>5.0000000000000001E-4</v>
      </c>
      <c r="J3015" s="1">
        <v>0.1158</v>
      </c>
    </row>
    <row r="3016" spans="1:11" x14ac:dyDescent="0.25">
      <c r="A3016" t="s">
        <v>203</v>
      </c>
      <c r="B3016">
        <v>321</v>
      </c>
      <c r="C3016" t="s">
        <v>201</v>
      </c>
      <c r="D3016">
        <v>2625</v>
      </c>
      <c r="E3016" s="1">
        <v>0.14119999999999999</v>
      </c>
      <c r="F3016" s="1">
        <v>7.4999999999999997E-3</v>
      </c>
      <c r="G3016" s="1">
        <v>0.15240000000000001</v>
      </c>
      <c r="H3016" s="1">
        <v>0.59099999999999997</v>
      </c>
      <c r="I3016" s="1">
        <v>2.3E-3</v>
      </c>
      <c r="J3016" s="1">
        <v>0.1056</v>
      </c>
    </row>
    <row r="3017" spans="1:11" x14ac:dyDescent="0.25">
      <c r="A3017" t="s">
        <v>203</v>
      </c>
      <c r="B3017">
        <v>89</v>
      </c>
      <c r="C3017" t="s">
        <v>202</v>
      </c>
      <c r="D3017">
        <v>2625</v>
      </c>
      <c r="E3017" s="1">
        <v>8.6199999999999999E-2</v>
      </c>
      <c r="G3017" s="1">
        <v>7.7100000000000002E-2</v>
      </c>
      <c r="H3017" s="1">
        <v>0.74960000000000004</v>
      </c>
      <c r="I3017" s="1">
        <v>5.8999999999999999E-3</v>
      </c>
      <c r="J3017" s="1">
        <v>8.1100000000000005E-2</v>
      </c>
    </row>
    <row r="3018" spans="1:11" x14ac:dyDescent="0.25">
      <c r="A3018" t="s">
        <v>204</v>
      </c>
      <c r="B3018">
        <v>2625</v>
      </c>
      <c r="C3018" t="s">
        <v>204</v>
      </c>
      <c r="D3018">
        <v>2625</v>
      </c>
      <c r="E3018" s="1">
        <v>0.1772</v>
      </c>
      <c r="F3018" s="1">
        <v>2.3800000000000002E-2</v>
      </c>
      <c r="G3018" s="1">
        <v>0.1038</v>
      </c>
      <c r="H3018" s="1">
        <v>0.48980000000000001</v>
      </c>
      <c r="I3018" s="1">
        <v>6.7999999999999996E-3</v>
      </c>
      <c r="J3018" s="1">
        <v>0.1986</v>
      </c>
    </row>
    <row r="3020" spans="1:11" x14ac:dyDescent="0.25">
      <c r="A3020" t="s">
        <v>828</v>
      </c>
    </row>
    <row r="3021" spans="1:11" x14ac:dyDescent="0.25">
      <c r="A3021" t="s">
        <v>190</v>
      </c>
      <c r="B3021" t="s">
        <v>206</v>
      </c>
      <c r="C3021" t="s">
        <v>195</v>
      </c>
      <c r="D3021" t="s">
        <v>189</v>
      </c>
      <c r="E3021" t="s">
        <v>196</v>
      </c>
      <c r="F3021" t="s">
        <v>819</v>
      </c>
      <c r="G3021" t="s">
        <v>820</v>
      </c>
      <c r="H3021" t="s">
        <v>821</v>
      </c>
      <c r="I3021" t="s">
        <v>822</v>
      </c>
      <c r="J3021" t="s">
        <v>215</v>
      </c>
      <c r="K3021" t="s">
        <v>823</v>
      </c>
    </row>
    <row r="3022" spans="1:11" s="29" customFormat="1" x14ac:dyDescent="0.25">
      <c r="A3022" s="29" t="s">
        <v>198</v>
      </c>
      <c r="B3022" s="29" t="s">
        <v>209</v>
      </c>
      <c r="C3022" s="29">
        <v>20</v>
      </c>
      <c r="D3022" s="29" t="s">
        <v>197</v>
      </c>
      <c r="E3022" s="29">
        <v>2625</v>
      </c>
      <c r="F3022" s="30">
        <v>7.17E-2</v>
      </c>
      <c r="H3022" s="30">
        <v>8.5400000000000004E-2</v>
      </c>
      <c r="I3022" s="30">
        <v>0.61160000000000003</v>
      </c>
      <c r="K3022" s="30">
        <v>0.23130000000000001</v>
      </c>
    </row>
    <row r="3023" spans="1:11" x14ac:dyDescent="0.25">
      <c r="A3023" t="s">
        <v>198</v>
      </c>
      <c r="B3023" t="s">
        <v>210</v>
      </c>
      <c r="C3023">
        <v>62</v>
      </c>
      <c r="D3023" t="s">
        <v>197</v>
      </c>
      <c r="E3023">
        <v>2625</v>
      </c>
      <c r="F3023" s="1">
        <v>0.13220000000000001</v>
      </c>
      <c r="H3023" s="1">
        <v>5.8400000000000001E-2</v>
      </c>
      <c r="I3023" s="1">
        <v>0.5796</v>
      </c>
      <c r="K3023" s="1">
        <v>0.2298</v>
      </c>
    </row>
    <row r="3024" spans="1:11" x14ac:dyDescent="0.25">
      <c r="A3024" t="s">
        <v>198</v>
      </c>
      <c r="B3024" t="s">
        <v>209</v>
      </c>
      <c r="C3024">
        <v>76</v>
      </c>
      <c r="D3024" t="s">
        <v>199</v>
      </c>
      <c r="E3024">
        <v>2625</v>
      </c>
      <c r="F3024" s="1">
        <v>0.13220000000000001</v>
      </c>
      <c r="G3024" s="1">
        <v>7.7899999999999997E-2</v>
      </c>
      <c r="H3024" s="1">
        <v>0.12330000000000001</v>
      </c>
      <c r="I3024" s="1">
        <v>0.1426</v>
      </c>
      <c r="J3024" s="1">
        <v>4.7999999999999996E-3</v>
      </c>
      <c r="K3024" s="1">
        <v>0.51929999999999998</v>
      </c>
    </row>
    <row r="3025" spans="1:11" x14ac:dyDescent="0.25">
      <c r="A3025" t="s">
        <v>198</v>
      </c>
      <c r="B3025" t="s">
        <v>210</v>
      </c>
      <c r="C3025">
        <v>292</v>
      </c>
      <c r="D3025" t="s">
        <v>199</v>
      </c>
      <c r="E3025">
        <v>2625</v>
      </c>
      <c r="F3025" s="1">
        <v>0.2681</v>
      </c>
      <c r="G3025" s="1">
        <v>3.3000000000000002E-2</v>
      </c>
      <c r="H3025" s="1">
        <v>7.3099999999999998E-2</v>
      </c>
      <c r="I3025" s="1">
        <v>0.32290000000000002</v>
      </c>
      <c r="J3025" s="1">
        <v>2.29E-2</v>
      </c>
      <c r="K3025" s="1">
        <v>0.28000000000000003</v>
      </c>
    </row>
    <row r="3026" spans="1:11" x14ac:dyDescent="0.25">
      <c r="A3026" t="s">
        <v>198</v>
      </c>
      <c r="B3026" t="s">
        <v>210</v>
      </c>
      <c r="C3026">
        <v>311</v>
      </c>
      <c r="D3026" t="s">
        <v>200</v>
      </c>
      <c r="E3026">
        <v>2625</v>
      </c>
      <c r="F3026" s="1">
        <v>0.1777</v>
      </c>
      <c r="G3026" s="1">
        <v>3.1E-2</v>
      </c>
      <c r="H3026" s="1">
        <v>0.127</v>
      </c>
      <c r="I3026" s="1">
        <v>0.48870000000000002</v>
      </c>
      <c r="J3026" s="1">
        <v>4.1000000000000003E-3</v>
      </c>
      <c r="K3026" s="1">
        <v>0.17150000000000001</v>
      </c>
    </row>
    <row r="3027" spans="1:11" x14ac:dyDescent="0.25">
      <c r="A3027" t="s">
        <v>198</v>
      </c>
      <c r="B3027" t="s">
        <v>209</v>
      </c>
      <c r="C3027">
        <v>73</v>
      </c>
      <c r="D3027" t="s">
        <v>200</v>
      </c>
      <c r="E3027">
        <v>2625</v>
      </c>
      <c r="F3027" s="1">
        <v>0.16120000000000001</v>
      </c>
      <c r="G3027" s="1">
        <v>1.0999999999999999E-2</v>
      </c>
      <c r="H3027" s="1">
        <v>0.1022</v>
      </c>
      <c r="I3027" s="1">
        <v>0.54330000000000001</v>
      </c>
      <c r="J3027" s="1">
        <v>5.0000000000000001E-4</v>
      </c>
      <c r="K3027" s="1">
        <v>0.18179999999999999</v>
      </c>
    </row>
    <row r="3028" spans="1:11" x14ac:dyDescent="0.25">
      <c r="A3028" t="s">
        <v>198</v>
      </c>
      <c r="B3028" t="s">
        <v>209</v>
      </c>
      <c r="C3028">
        <v>52</v>
      </c>
      <c r="D3028" t="s">
        <v>201</v>
      </c>
      <c r="E3028">
        <v>2625</v>
      </c>
      <c r="F3028" s="1">
        <v>0.2666</v>
      </c>
      <c r="G3028" s="1">
        <v>1.84E-2</v>
      </c>
      <c r="H3028" s="1">
        <v>0.15060000000000001</v>
      </c>
      <c r="I3028" s="1">
        <v>0.379</v>
      </c>
      <c r="K3028" s="1">
        <v>0.1855</v>
      </c>
    </row>
    <row r="3029" spans="1:11" x14ac:dyDescent="0.25">
      <c r="A3029" t="s">
        <v>198</v>
      </c>
      <c r="B3029" t="s">
        <v>210</v>
      </c>
      <c r="C3029">
        <v>204</v>
      </c>
      <c r="D3029" t="s">
        <v>201</v>
      </c>
      <c r="E3029">
        <v>2625</v>
      </c>
      <c r="F3029" s="1">
        <v>0.18410000000000001</v>
      </c>
      <c r="G3029" s="1">
        <v>1.9E-3</v>
      </c>
      <c r="H3029" s="1">
        <v>0.1148</v>
      </c>
      <c r="I3029" s="1">
        <v>0.47070000000000001</v>
      </c>
      <c r="J3029" s="1">
        <v>8.0000000000000004E-4</v>
      </c>
      <c r="K3029" s="1">
        <v>0.2276</v>
      </c>
    </row>
    <row r="3030" spans="1:11" x14ac:dyDescent="0.25">
      <c r="A3030" t="s">
        <v>198</v>
      </c>
      <c r="B3030" t="s">
        <v>210</v>
      </c>
      <c r="C3030">
        <v>70</v>
      </c>
      <c r="D3030" t="s">
        <v>202</v>
      </c>
      <c r="E3030">
        <v>2625</v>
      </c>
      <c r="F3030" s="1">
        <v>0.2777</v>
      </c>
      <c r="G3030" s="1">
        <v>7.0000000000000007E-2</v>
      </c>
      <c r="H3030" s="1">
        <v>0.12839999999999999</v>
      </c>
      <c r="I3030" s="1">
        <v>0.38119999999999998</v>
      </c>
      <c r="J3030" s="1">
        <v>3.5700000000000003E-2</v>
      </c>
      <c r="K3030" s="1">
        <v>0.107</v>
      </c>
    </row>
    <row r="3031" spans="1:11" s="29" customFormat="1" x14ac:dyDescent="0.25">
      <c r="A3031" s="29" t="s">
        <v>198</v>
      </c>
      <c r="B3031" s="29" t="s">
        <v>209</v>
      </c>
      <c r="C3031" s="29">
        <v>24</v>
      </c>
      <c r="D3031" s="29" t="s">
        <v>202</v>
      </c>
      <c r="E3031" s="29">
        <v>2625</v>
      </c>
      <c r="F3031" s="30">
        <v>0.31</v>
      </c>
      <c r="G3031" s="30">
        <v>1.8499999999999999E-2</v>
      </c>
      <c r="H3031" s="30">
        <v>4.3799999999999999E-2</v>
      </c>
      <c r="I3031" s="30">
        <v>0.36959999999999998</v>
      </c>
      <c r="J3031" s="30">
        <v>2.9100000000000001E-2</v>
      </c>
      <c r="K3031" s="30">
        <v>0.22900000000000001</v>
      </c>
    </row>
    <row r="3032" spans="1:11" x14ac:dyDescent="0.25">
      <c r="A3032" t="s">
        <v>203</v>
      </c>
      <c r="B3032" t="s">
        <v>209</v>
      </c>
      <c r="C3032">
        <v>126</v>
      </c>
      <c r="D3032" t="s">
        <v>199</v>
      </c>
      <c r="E3032">
        <v>2625</v>
      </c>
      <c r="F3032" s="1">
        <v>0.18579999999999999</v>
      </c>
      <c r="G3032" s="1">
        <v>2.12E-2</v>
      </c>
      <c r="H3032" s="1">
        <v>0.2112</v>
      </c>
      <c r="I3032" s="1">
        <v>0.15609999999999999</v>
      </c>
      <c r="J3032" s="1">
        <v>2.3E-3</v>
      </c>
      <c r="K3032" s="1">
        <v>0.4234</v>
      </c>
    </row>
    <row r="3033" spans="1:11" x14ac:dyDescent="0.25">
      <c r="A3033" t="s">
        <v>203</v>
      </c>
      <c r="B3033" t="s">
        <v>210</v>
      </c>
      <c r="C3033">
        <v>403</v>
      </c>
      <c r="D3033" t="s">
        <v>199</v>
      </c>
      <c r="E3033">
        <v>2625</v>
      </c>
      <c r="F3033" s="1">
        <v>0.37540000000000001</v>
      </c>
      <c r="G3033" s="1">
        <v>6.7999999999999996E-3</v>
      </c>
      <c r="H3033" s="1">
        <v>0.10059999999999999</v>
      </c>
      <c r="I3033" s="1">
        <v>0.14610000000000001</v>
      </c>
      <c r="J3033" s="1">
        <v>1.5E-3</v>
      </c>
      <c r="K3033" s="1">
        <v>0.36969999999999997</v>
      </c>
    </row>
    <row r="3034" spans="1:11" x14ac:dyDescent="0.25">
      <c r="A3034" t="s">
        <v>203</v>
      </c>
      <c r="B3034" t="s">
        <v>210</v>
      </c>
      <c r="C3034">
        <v>366</v>
      </c>
      <c r="D3034" t="s">
        <v>200</v>
      </c>
      <c r="E3034">
        <v>2625</v>
      </c>
      <c r="F3034" s="1">
        <v>8.2000000000000003E-2</v>
      </c>
      <c r="G3034" s="1">
        <v>3.2399999999999998E-2</v>
      </c>
      <c r="H3034" s="1">
        <v>9.1899999999999996E-2</v>
      </c>
      <c r="I3034" s="1">
        <v>0.66600000000000004</v>
      </c>
      <c r="K3034" s="1">
        <v>0.12770000000000001</v>
      </c>
    </row>
    <row r="3035" spans="1:11" x14ac:dyDescent="0.25">
      <c r="A3035" t="s">
        <v>203</v>
      </c>
      <c r="B3035" t="s">
        <v>209</v>
      </c>
      <c r="C3035">
        <v>136</v>
      </c>
      <c r="D3035" t="s">
        <v>200</v>
      </c>
      <c r="E3035">
        <v>2625</v>
      </c>
      <c r="F3035" s="1">
        <v>0.104</v>
      </c>
      <c r="G3035" s="1">
        <v>8.8999999999999999E-3</v>
      </c>
      <c r="H3035" s="1">
        <v>9.7600000000000006E-2</v>
      </c>
      <c r="I3035" s="1">
        <v>0.69730000000000003</v>
      </c>
      <c r="J3035" s="1">
        <v>1.6000000000000001E-3</v>
      </c>
      <c r="K3035" s="1">
        <v>9.0499999999999997E-2</v>
      </c>
    </row>
    <row r="3036" spans="1:11" x14ac:dyDescent="0.25">
      <c r="A3036" t="s">
        <v>203</v>
      </c>
      <c r="B3036" t="s">
        <v>209</v>
      </c>
      <c r="C3036">
        <v>86</v>
      </c>
      <c r="D3036" t="s">
        <v>201</v>
      </c>
      <c r="E3036">
        <v>2625</v>
      </c>
      <c r="F3036" s="1">
        <v>0.2225</v>
      </c>
      <c r="H3036" s="1">
        <v>0.18160000000000001</v>
      </c>
      <c r="I3036" s="1">
        <v>0.44940000000000002</v>
      </c>
      <c r="K3036" s="1">
        <v>0.14649999999999999</v>
      </c>
    </row>
    <row r="3037" spans="1:11" x14ac:dyDescent="0.25">
      <c r="A3037" t="s">
        <v>203</v>
      </c>
      <c r="B3037" t="s">
        <v>210</v>
      </c>
      <c r="C3037">
        <v>235</v>
      </c>
      <c r="D3037" t="s">
        <v>201</v>
      </c>
      <c r="E3037">
        <v>2625</v>
      </c>
      <c r="F3037" s="1">
        <v>0.1048</v>
      </c>
      <c r="G3037" s="1">
        <v>1.0800000000000001E-2</v>
      </c>
      <c r="H3037" s="1">
        <v>0.1394</v>
      </c>
      <c r="I3037" s="1">
        <v>0.65429999999999999</v>
      </c>
      <c r="J3037" s="1">
        <v>3.3999999999999998E-3</v>
      </c>
      <c r="K3037" s="1">
        <v>8.7300000000000003E-2</v>
      </c>
    </row>
    <row r="3038" spans="1:11" s="29" customFormat="1" x14ac:dyDescent="0.25">
      <c r="A3038" s="29" t="s">
        <v>203</v>
      </c>
      <c r="B3038" s="29" t="s">
        <v>209</v>
      </c>
      <c r="C3038" s="29">
        <v>27</v>
      </c>
      <c r="D3038" s="29" t="s">
        <v>202</v>
      </c>
      <c r="E3038" s="29">
        <v>2625</v>
      </c>
      <c r="F3038" s="30">
        <v>3.1699999999999999E-2</v>
      </c>
      <c r="H3038" s="30">
        <v>1.35E-2</v>
      </c>
      <c r="I3038" s="30">
        <v>0.82220000000000004</v>
      </c>
      <c r="K3038" s="30">
        <v>0.13250000000000001</v>
      </c>
    </row>
    <row r="3039" spans="1:11" x14ac:dyDescent="0.25">
      <c r="A3039" t="s">
        <v>203</v>
      </c>
      <c r="B3039" t="s">
        <v>210</v>
      </c>
      <c r="C3039">
        <v>62</v>
      </c>
      <c r="D3039" t="s">
        <v>202</v>
      </c>
      <c r="E3039">
        <v>2625</v>
      </c>
      <c r="F3039" s="1">
        <v>0.1071</v>
      </c>
      <c r="H3039" s="1">
        <v>0.10150000000000001</v>
      </c>
      <c r="I3039" s="1">
        <v>0.7218</v>
      </c>
      <c r="J3039" s="1">
        <v>8.2000000000000007E-3</v>
      </c>
      <c r="K3039" s="1">
        <v>6.1400000000000003E-2</v>
      </c>
    </row>
    <row r="3040" spans="1:11" x14ac:dyDescent="0.25">
      <c r="A3040" t="s">
        <v>204</v>
      </c>
      <c r="B3040" t="s">
        <v>204</v>
      </c>
      <c r="C3040">
        <v>2625</v>
      </c>
      <c r="D3040" t="s">
        <v>204</v>
      </c>
      <c r="E3040">
        <v>2625</v>
      </c>
      <c r="F3040" s="1">
        <v>0.1772</v>
      </c>
      <c r="G3040" s="1">
        <v>2.3800000000000002E-2</v>
      </c>
      <c r="H3040" s="1">
        <v>0.1038</v>
      </c>
      <c r="I3040" s="1">
        <v>0.48980000000000001</v>
      </c>
      <c r="J3040" s="1">
        <v>6.7999999999999996E-3</v>
      </c>
      <c r="K3040" s="1">
        <v>0.1986</v>
      </c>
    </row>
    <row r="3042" spans="1:11" x14ac:dyDescent="0.25">
      <c r="A3042" t="s">
        <v>829</v>
      </c>
    </row>
    <row r="3043" spans="1:11" x14ac:dyDescent="0.25">
      <c r="A3043" t="s">
        <v>190</v>
      </c>
      <c r="B3043" t="s">
        <v>206</v>
      </c>
      <c r="C3043" t="s">
        <v>195</v>
      </c>
      <c r="D3043" t="s">
        <v>189</v>
      </c>
      <c r="E3043" t="s">
        <v>196</v>
      </c>
      <c r="F3043" t="s">
        <v>819</v>
      </c>
      <c r="G3043" t="s">
        <v>820</v>
      </c>
      <c r="H3043" t="s">
        <v>821</v>
      </c>
      <c r="I3043" t="s">
        <v>822</v>
      </c>
      <c r="J3043" t="s">
        <v>215</v>
      </c>
      <c r="K3043" t="s">
        <v>823</v>
      </c>
    </row>
    <row r="3044" spans="1:11" x14ac:dyDescent="0.25">
      <c r="A3044" t="s">
        <v>198</v>
      </c>
      <c r="B3044" t="s">
        <v>228</v>
      </c>
      <c r="C3044">
        <v>33</v>
      </c>
      <c r="D3044" t="s">
        <v>197</v>
      </c>
      <c r="E3044">
        <v>2625</v>
      </c>
      <c r="F3044" s="1">
        <v>9.9299999999999999E-2</v>
      </c>
      <c r="H3044" s="1">
        <v>7.6700000000000004E-2</v>
      </c>
      <c r="I3044" s="1">
        <v>0.58989999999999998</v>
      </c>
      <c r="K3044" s="1">
        <v>0.23419999999999999</v>
      </c>
    </row>
    <row r="3045" spans="1:11" x14ac:dyDescent="0.25">
      <c r="A3045" t="s">
        <v>198</v>
      </c>
      <c r="B3045" t="s">
        <v>229</v>
      </c>
      <c r="C3045">
        <v>49</v>
      </c>
      <c r="D3045" t="s">
        <v>197</v>
      </c>
      <c r="E3045">
        <v>2625</v>
      </c>
      <c r="F3045" s="1">
        <v>0.12970000000000001</v>
      </c>
      <c r="H3045" s="1">
        <v>5.6800000000000003E-2</v>
      </c>
      <c r="I3045" s="1">
        <v>0.58630000000000004</v>
      </c>
      <c r="K3045" s="1">
        <v>0.2271</v>
      </c>
    </row>
    <row r="3046" spans="1:11" x14ac:dyDescent="0.25">
      <c r="A3046" t="s">
        <v>198</v>
      </c>
      <c r="B3046" t="s">
        <v>228</v>
      </c>
      <c r="C3046">
        <v>145</v>
      </c>
      <c r="D3046" t="s">
        <v>199</v>
      </c>
      <c r="E3046">
        <v>2625</v>
      </c>
      <c r="F3046" s="1">
        <v>0.26900000000000002</v>
      </c>
      <c r="G3046" s="1">
        <v>1.2500000000000001E-2</v>
      </c>
      <c r="H3046" s="1">
        <v>4.53E-2</v>
      </c>
      <c r="I3046" s="1">
        <v>0.2442</v>
      </c>
      <c r="K3046" s="1">
        <v>0.42899999999999999</v>
      </c>
    </row>
    <row r="3047" spans="1:11" x14ac:dyDescent="0.25">
      <c r="A3047" t="s">
        <v>198</v>
      </c>
      <c r="B3047" t="s">
        <v>229</v>
      </c>
      <c r="C3047">
        <v>213</v>
      </c>
      <c r="D3047" t="s">
        <v>199</v>
      </c>
      <c r="E3047">
        <v>2625</v>
      </c>
      <c r="F3047" s="1">
        <v>0.2225</v>
      </c>
      <c r="G3047" s="1">
        <v>5.3600000000000002E-2</v>
      </c>
      <c r="H3047" s="1">
        <v>0.1</v>
      </c>
      <c r="I3047" s="1">
        <v>0.2893</v>
      </c>
      <c r="J3047" s="1">
        <v>2.52E-2</v>
      </c>
      <c r="K3047" s="1">
        <v>0.3095</v>
      </c>
    </row>
    <row r="3048" spans="1:11" x14ac:dyDescent="0.25">
      <c r="A3048" t="s">
        <v>198</v>
      </c>
      <c r="B3048" t="s">
        <v>229</v>
      </c>
      <c r="C3048">
        <v>268</v>
      </c>
      <c r="D3048" t="s">
        <v>200</v>
      </c>
      <c r="E3048">
        <v>2625</v>
      </c>
      <c r="F3048" s="1">
        <v>0.1729</v>
      </c>
      <c r="G3048" s="1">
        <v>2.7300000000000001E-2</v>
      </c>
      <c r="H3048" s="1">
        <v>0.1288</v>
      </c>
      <c r="I3048" s="1">
        <v>0.48080000000000001</v>
      </c>
      <c r="J3048" s="1">
        <v>4.4000000000000003E-3</v>
      </c>
      <c r="K3048" s="1">
        <v>0.1857</v>
      </c>
    </row>
    <row r="3049" spans="1:11" x14ac:dyDescent="0.25">
      <c r="A3049" t="s">
        <v>198</v>
      </c>
      <c r="B3049" t="s">
        <v>228</v>
      </c>
      <c r="C3049">
        <v>111</v>
      </c>
      <c r="D3049" t="s">
        <v>200</v>
      </c>
      <c r="E3049">
        <v>2625</v>
      </c>
      <c r="F3049" s="1">
        <v>0.15429999999999999</v>
      </c>
      <c r="G3049" s="1">
        <v>2.64E-2</v>
      </c>
      <c r="H3049" s="1">
        <v>0.1027</v>
      </c>
      <c r="I3049" s="1">
        <v>0.57750000000000001</v>
      </c>
      <c r="K3049" s="1">
        <v>0.1391</v>
      </c>
    </row>
    <row r="3050" spans="1:11" x14ac:dyDescent="0.25">
      <c r="A3050" t="s">
        <v>198</v>
      </c>
      <c r="B3050" t="s">
        <v>228</v>
      </c>
      <c r="C3050">
        <v>95</v>
      </c>
      <c r="D3050" t="s">
        <v>201</v>
      </c>
      <c r="E3050">
        <v>2625</v>
      </c>
      <c r="F3050" s="1">
        <v>0.1769</v>
      </c>
      <c r="G3050" s="1">
        <v>7.3000000000000001E-3</v>
      </c>
      <c r="H3050" s="1">
        <v>0.1636</v>
      </c>
      <c r="I3050" s="1">
        <v>0.48280000000000001</v>
      </c>
      <c r="K3050" s="1">
        <v>0.1694</v>
      </c>
    </row>
    <row r="3051" spans="1:11" x14ac:dyDescent="0.25">
      <c r="A3051" t="s">
        <v>198</v>
      </c>
      <c r="B3051" t="s">
        <v>229</v>
      </c>
      <c r="C3051">
        <v>155</v>
      </c>
      <c r="D3051" t="s">
        <v>201</v>
      </c>
      <c r="E3051">
        <v>2625</v>
      </c>
      <c r="F3051" s="1">
        <v>0.20319999999999999</v>
      </c>
      <c r="G3051" s="1">
        <v>4.5999999999999999E-3</v>
      </c>
      <c r="H3051" s="1">
        <v>0.1114</v>
      </c>
      <c r="I3051" s="1">
        <v>0.44990000000000002</v>
      </c>
      <c r="J3051" s="1">
        <v>8.9999999999999998E-4</v>
      </c>
      <c r="K3051" s="1">
        <v>0.23</v>
      </c>
    </row>
    <row r="3052" spans="1:11" s="29" customFormat="1" x14ac:dyDescent="0.25">
      <c r="A3052" s="29" t="s">
        <v>198</v>
      </c>
      <c r="B3052" s="29" t="s">
        <v>228</v>
      </c>
      <c r="C3052" s="29">
        <v>28</v>
      </c>
      <c r="D3052" s="29" t="s">
        <v>202</v>
      </c>
      <c r="E3052" s="29">
        <v>2625</v>
      </c>
      <c r="F3052" s="30">
        <v>0.27229999999999999</v>
      </c>
      <c r="G3052" s="30">
        <v>6.4399999999999999E-2</v>
      </c>
      <c r="H3052" s="30">
        <v>0.13389999999999999</v>
      </c>
      <c r="I3052" s="30">
        <v>0.42270000000000002</v>
      </c>
      <c r="J3052" s="30">
        <v>0.1067</v>
      </c>
    </row>
    <row r="3053" spans="1:11" x14ac:dyDescent="0.25">
      <c r="A3053" t="s">
        <v>198</v>
      </c>
      <c r="B3053" t="s">
        <v>229</v>
      </c>
      <c r="C3053">
        <v>66</v>
      </c>
      <c r="D3053" t="s">
        <v>202</v>
      </c>
      <c r="E3053">
        <v>2625</v>
      </c>
      <c r="F3053" s="1">
        <v>0.2913</v>
      </c>
      <c r="G3053" s="1">
        <v>5.28E-2</v>
      </c>
      <c r="H3053" s="1">
        <v>9.5500000000000002E-2</v>
      </c>
      <c r="I3053" s="1">
        <v>0.36380000000000001</v>
      </c>
      <c r="J3053" s="1">
        <v>1.0699999999999999E-2</v>
      </c>
      <c r="K3053" s="1">
        <v>0.18579999999999999</v>
      </c>
    </row>
    <row r="3054" spans="1:11" x14ac:dyDescent="0.25">
      <c r="A3054" t="s">
        <v>203</v>
      </c>
      <c r="B3054" t="s">
        <v>229</v>
      </c>
      <c r="C3054">
        <v>369</v>
      </c>
      <c r="D3054" t="s">
        <v>199</v>
      </c>
      <c r="E3054">
        <v>2625</v>
      </c>
      <c r="F3054" s="1">
        <v>0.3085</v>
      </c>
      <c r="G3054" s="1">
        <v>7.6E-3</v>
      </c>
      <c r="H3054" s="1">
        <v>0.1338</v>
      </c>
      <c r="I3054" s="1">
        <v>0.14080000000000001</v>
      </c>
      <c r="J3054" s="1">
        <v>1.9E-3</v>
      </c>
      <c r="K3054" s="1">
        <v>0.40739999999999998</v>
      </c>
    </row>
    <row r="3055" spans="1:11" x14ac:dyDescent="0.25">
      <c r="A3055" t="s">
        <v>203</v>
      </c>
      <c r="B3055" t="s">
        <v>228</v>
      </c>
      <c r="C3055">
        <v>150</v>
      </c>
      <c r="D3055" t="s">
        <v>199</v>
      </c>
      <c r="E3055">
        <v>2625</v>
      </c>
      <c r="F3055" s="1">
        <v>0.46160000000000001</v>
      </c>
      <c r="G3055" s="1">
        <v>2.6800000000000001E-2</v>
      </c>
      <c r="H3055" s="1">
        <v>9.7299999999999998E-2</v>
      </c>
      <c r="I3055" s="1">
        <v>0.2157</v>
      </c>
      <c r="K3055" s="1">
        <v>0.1986</v>
      </c>
    </row>
    <row r="3056" spans="1:11" x14ac:dyDescent="0.25">
      <c r="A3056" t="s">
        <v>203</v>
      </c>
      <c r="B3056" t="s">
        <v>229</v>
      </c>
      <c r="C3056">
        <v>347</v>
      </c>
      <c r="D3056" t="s">
        <v>200</v>
      </c>
      <c r="E3056">
        <v>2625</v>
      </c>
      <c r="F3056" s="1">
        <v>0.10580000000000001</v>
      </c>
      <c r="G3056" s="1">
        <v>2.9100000000000001E-2</v>
      </c>
      <c r="H3056" s="1">
        <v>9.1499999999999998E-2</v>
      </c>
      <c r="I3056" s="1">
        <v>0.64559999999999995</v>
      </c>
      <c r="J3056" s="1">
        <v>5.9999999999999995E-4</v>
      </c>
      <c r="K3056" s="1">
        <v>0.1273</v>
      </c>
    </row>
    <row r="3057" spans="1:11" x14ac:dyDescent="0.25">
      <c r="A3057" t="s">
        <v>203</v>
      </c>
      <c r="B3057" t="s">
        <v>228</v>
      </c>
      <c r="C3057">
        <v>154</v>
      </c>
      <c r="D3057" t="s">
        <v>200</v>
      </c>
      <c r="E3057">
        <v>2625</v>
      </c>
      <c r="F3057" s="1">
        <v>1.8700000000000001E-2</v>
      </c>
      <c r="G3057" s="1">
        <v>7.0000000000000001E-3</v>
      </c>
      <c r="H3057" s="1">
        <v>0.1032</v>
      </c>
      <c r="I3057" s="1">
        <v>0.80400000000000005</v>
      </c>
      <c r="K3057" s="1">
        <v>6.7100000000000007E-2</v>
      </c>
    </row>
    <row r="3058" spans="1:11" x14ac:dyDescent="0.25">
      <c r="A3058" t="s">
        <v>203</v>
      </c>
      <c r="B3058" t="s">
        <v>229</v>
      </c>
      <c r="C3058">
        <v>137</v>
      </c>
      <c r="D3058" t="s">
        <v>201</v>
      </c>
      <c r="E3058">
        <v>2625</v>
      </c>
      <c r="F3058" s="1">
        <v>0.1285</v>
      </c>
      <c r="G3058" s="1">
        <v>1.5E-3</v>
      </c>
      <c r="H3058" s="1">
        <v>0.1638</v>
      </c>
      <c r="I3058" s="1">
        <v>0.59589999999999999</v>
      </c>
      <c r="J3058" s="1">
        <v>1.5E-3</v>
      </c>
      <c r="K3058" s="1">
        <v>0.1087</v>
      </c>
    </row>
    <row r="3059" spans="1:11" x14ac:dyDescent="0.25">
      <c r="A3059" t="s">
        <v>203</v>
      </c>
      <c r="B3059" t="s">
        <v>228</v>
      </c>
      <c r="C3059">
        <v>177</v>
      </c>
      <c r="D3059" t="s">
        <v>201</v>
      </c>
      <c r="E3059">
        <v>2625</v>
      </c>
      <c r="F3059" s="1">
        <v>0.18110000000000001</v>
      </c>
      <c r="G3059" s="1">
        <v>2.6499999999999999E-2</v>
      </c>
      <c r="H3059" s="1">
        <v>0.1169</v>
      </c>
      <c r="I3059" s="1">
        <v>0.57850000000000001</v>
      </c>
      <c r="J3059" s="1">
        <v>4.8999999999999998E-3</v>
      </c>
      <c r="K3059" s="1">
        <v>9.2200000000000004E-2</v>
      </c>
    </row>
    <row r="3060" spans="1:11" x14ac:dyDescent="0.25">
      <c r="A3060" t="s">
        <v>203</v>
      </c>
      <c r="B3060" t="s">
        <v>228</v>
      </c>
      <c r="C3060">
        <v>34</v>
      </c>
      <c r="D3060" t="s">
        <v>202</v>
      </c>
      <c r="E3060">
        <v>2625</v>
      </c>
      <c r="F3060" s="1">
        <v>0.14530000000000001</v>
      </c>
      <c r="H3060" s="1">
        <v>6.2600000000000003E-2</v>
      </c>
      <c r="I3060" s="1">
        <v>0.64939999999999998</v>
      </c>
      <c r="K3060" s="1">
        <v>0.14269999999999999</v>
      </c>
    </row>
    <row r="3061" spans="1:11" x14ac:dyDescent="0.25">
      <c r="A3061" t="s">
        <v>203</v>
      </c>
      <c r="B3061" t="s">
        <v>229</v>
      </c>
      <c r="C3061">
        <v>55</v>
      </c>
      <c r="D3061" t="s">
        <v>202</v>
      </c>
      <c r="E3061">
        <v>2625</v>
      </c>
      <c r="F3061" s="1">
        <v>6.2799999999999995E-2</v>
      </c>
      <c r="H3061" s="1">
        <v>8.2799999999999999E-2</v>
      </c>
      <c r="I3061" s="1">
        <v>0.78939999999999999</v>
      </c>
      <c r="J3061" s="1">
        <v>8.3000000000000001E-3</v>
      </c>
      <c r="K3061" s="1">
        <v>5.67E-2</v>
      </c>
    </row>
    <row r="3062" spans="1:11" x14ac:dyDescent="0.25">
      <c r="A3062" t="s">
        <v>204</v>
      </c>
      <c r="B3062" t="s">
        <v>204</v>
      </c>
      <c r="C3062">
        <v>2625</v>
      </c>
      <c r="D3062" t="s">
        <v>204</v>
      </c>
      <c r="E3062">
        <v>2625</v>
      </c>
      <c r="F3062" s="1">
        <v>0.1772</v>
      </c>
      <c r="G3062" s="1">
        <v>2.3800000000000002E-2</v>
      </c>
      <c r="H3062" s="1">
        <v>0.1038</v>
      </c>
      <c r="I3062" s="1">
        <v>0.48980000000000001</v>
      </c>
      <c r="J3062" s="1">
        <v>6.7999999999999996E-3</v>
      </c>
      <c r="K3062" s="1">
        <v>0.1986</v>
      </c>
    </row>
    <row r="3064" spans="1:11" x14ac:dyDescent="0.25">
      <c r="A3064" t="s">
        <v>830</v>
      </c>
    </row>
    <row r="3065" spans="1:11" x14ac:dyDescent="0.25">
      <c r="A3065" t="s">
        <v>190</v>
      </c>
      <c r="B3065" t="s">
        <v>206</v>
      </c>
      <c r="C3065" t="s">
        <v>195</v>
      </c>
      <c r="D3065" t="s">
        <v>189</v>
      </c>
      <c r="E3065" t="s">
        <v>196</v>
      </c>
      <c r="F3065" t="s">
        <v>819</v>
      </c>
      <c r="G3065" t="s">
        <v>820</v>
      </c>
      <c r="H3065" t="s">
        <v>821</v>
      </c>
      <c r="I3065" t="s">
        <v>822</v>
      </c>
      <c r="J3065" t="s">
        <v>215</v>
      </c>
      <c r="K3065" t="s">
        <v>823</v>
      </c>
    </row>
    <row r="3066" spans="1:11" x14ac:dyDescent="0.25">
      <c r="A3066" t="s">
        <v>198</v>
      </c>
      <c r="B3066" t="s">
        <v>348</v>
      </c>
      <c r="C3066">
        <v>79</v>
      </c>
      <c r="D3066" t="s">
        <v>197</v>
      </c>
      <c r="E3066">
        <v>2625</v>
      </c>
      <c r="F3066" s="1">
        <v>0.1206</v>
      </c>
      <c r="H3066" s="1">
        <v>4.48E-2</v>
      </c>
      <c r="I3066" s="1">
        <v>0.59660000000000002</v>
      </c>
      <c r="K3066" s="1">
        <v>0.23810000000000001</v>
      </c>
    </row>
    <row r="3067" spans="1:11" s="29" customFormat="1" x14ac:dyDescent="0.25">
      <c r="A3067" s="29" t="s">
        <v>198</v>
      </c>
      <c r="B3067" s="29" t="s">
        <v>349</v>
      </c>
      <c r="C3067" s="29">
        <v>3</v>
      </c>
      <c r="D3067" s="29" t="s">
        <v>197</v>
      </c>
      <c r="E3067" s="29">
        <v>2625</v>
      </c>
      <c r="H3067" s="30">
        <v>0.66669999999999996</v>
      </c>
      <c r="I3067" s="30">
        <v>0.33329999999999999</v>
      </c>
    </row>
    <row r="3068" spans="1:11" x14ac:dyDescent="0.25">
      <c r="A3068" t="s">
        <v>198</v>
      </c>
      <c r="B3068" t="s">
        <v>348</v>
      </c>
      <c r="C3068">
        <v>54</v>
      </c>
      <c r="D3068" t="s">
        <v>199</v>
      </c>
      <c r="E3068">
        <v>2625</v>
      </c>
      <c r="F3068" s="1">
        <v>7.9699999999999993E-2</v>
      </c>
      <c r="G3068" s="1">
        <v>2.3E-3</v>
      </c>
      <c r="H3068" s="1">
        <v>0.23580000000000001</v>
      </c>
      <c r="I3068" s="1">
        <v>0.4239</v>
      </c>
      <c r="K3068" s="1">
        <v>0.25819999999999999</v>
      </c>
    </row>
    <row r="3069" spans="1:11" x14ac:dyDescent="0.25">
      <c r="A3069" t="s">
        <v>198</v>
      </c>
      <c r="B3069" t="s">
        <v>349</v>
      </c>
      <c r="C3069">
        <v>111</v>
      </c>
      <c r="D3069" t="s">
        <v>199</v>
      </c>
      <c r="E3069">
        <v>2625</v>
      </c>
      <c r="F3069" s="1">
        <v>0.16830000000000001</v>
      </c>
      <c r="G3069" s="1">
        <v>4.9500000000000002E-2</v>
      </c>
      <c r="H3069" s="1">
        <v>4.7500000000000001E-2</v>
      </c>
      <c r="I3069" s="1">
        <v>0.32440000000000002</v>
      </c>
      <c r="J3069" s="1">
        <v>3.8699999999999998E-2</v>
      </c>
      <c r="K3069" s="1">
        <v>0.37169999999999997</v>
      </c>
    </row>
    <row r="3070" spans="1:11" x14ac:dyDescent="0.25">
      <c r="A3070" t="s">
        <v>198</v>
      </c>
      <c r="B3070" t="s">
        <v>350</v>
      </c>
      <c r="C3070">
        <v>193</v>
      </c>
      <c r="D3070" t="s">
        <v>199</v>
      </c>
      <c r="E3070">
        <v>2625</v>
      </c>
      <c r="F3070" s="1">
        <v>0.36099999999999999</v>
      </c>
      <c r="G3070" s="1">
        <v>4.9599999999999998E-2</v>
      </c>
      <c r="H3070" s="1">
        <v>7.7299999999999994E-2</v>
      </c>
      <c r="I3070" s="1">
        <v>0.17560000000000001</v>
      </c>
      <c r="J3070" s="1">
        <v>2.8E-3</v>
      </c>
      <c r="K3070" s="1">
        <v>0.3337</v>
      </c>
    </row>
    <row r="3071" spans="1:11" x14ac:dyDescent="0.25">
      <c r="A3071" t="s">
        <v>198</v>
      </c>
      <c r="B3071" t="s">
        <v>350</v>
      </c>
      <c r="C3071">
        <v>77</v>
      </c>
      <c r="D3071" t="s">
        <v>200</v>
      </c>
      <c r="E3071">
        <v>2625</v>
      </c>
      <c r="F3071" s="1">
        <v>0.25869999999999999</v>
      </c>
      <c r="G3071" s="1">
        <v>0.12470000000000001</v>
      </c>
      <c r="H3071" s="1">
        <v>0.16569999999999999</v>
      </c>
      <c r="I3071" s="1">
        <v>0.34960000000000002</v>
      </c>
      <c r="K3071" s="1">
        <v>0.1013</v>
      </c>
    </row>
    <row r="3072" spans="1:11" x14ac:dyDescent="0.25">
      <c r="A3072" t="s">
        <v>198</v>
      </c>
      <c r="B3072" t="s">
        <v>348</v>
      </c>
      <c r="C3072">
        <v>241</v>
      </c>
      <c r="D3072" t="s">
        <v>200</v>
      </c>
      <c r="E3072">
        <v>2625</v>
      </c>
      <c r="F3072" s="1">
        <v>0.15609999999999999</v>
      </c>
      <c r="G3072" s="1">
        <v>2.12E-2</v>
      </c>
      <c r="H3072" s="1">
        <v>0.1226</v>
      </c>
      <c r="I3072" s="1">
        <v>0.51090000000000002</v>
      </c>
      <c r="J3072" s="1">
        <v>3.8E-3</v>
      </c>
      <c r="K3072" s="1">
        <v>0.1855</v>
      </c>
    </row>
    <row r="3073" spans="1:11" x14ac:dyDescent="0.25">
      <c r="A3073" t="s">
        <v>198</v>
      </c>
      <c r="B3073" t="s">
        <v>349</v>
      </c>
      <c r="C3073">
        <v>61</v>
      </c>
      <c r="D3073" t="s">
        <v>200</v>
      </c>
      <c r="E3073">
        <v>2625</v>
      </c>
      <c r="F3073" s="1">
        <v>0.24890000000000001</v>
      </c>
      <c r="H3073" s="1">
        <v>7.4700000000000003E-2</v>
      </c>
      <c r="I3073" s="1">
        <v>0.57169999999999999</v>
      </c>
      <c r="J3073" s="1">
        <v>1.6999999999999999E-3</v>
      </c>
      <c r="K3073" s="1">
        <v>0.10290000000000001</v>
      </c>
    </row>
    <row r="3074" spans="1:11" x14ac:dyDescent="0.25">
      <c r="A3074" t="s">
        <v>198</v>
      </c>
      <c r="B3074" t="s">
        <v>349</v>
      </c>
      <c r="C3074">
        <v>125</v>
      </c>
      <c r="D3074" t="s">
        <v>201</v>
      </c>
      <c r="E3074">
        <v>2625</v>
      </c>
      <c r="F3074" s="1">
        <v>0.21360000000000001</v>
      </c>
      <c r="G3074" s="1">
        <v>5.1999999999999998E-3</v>
      </c>
      <c r="H3074" s="1">
        <v>9.3899999999999997E-2</v>
      </c>
      <c r="I3074" s="1">
        <v>0.43180000000000002</v>
      </c>
      <c r="K3074" s="1">
        <v>0.25559999999999999</v>
      </c>
    </row>
    <row r="3075" spans="1:11" x14ac:dyDescent="0.25">
      <c r="A3075" t="s">
        <v>198</v>
      </c>
      <c r="B3075" t="s">
        <v>350</v>
      </c>
      <c r="C3075">
        <v>63</v>
      </c>
      <c r="D3075" t="s">
        <v>201</v>
      </c>
      <c r="E3075">
        <v>2625</v>
      </c>
      <c r="F3075" s="1">
        <v>0.28560000000000002</v>
      </c>
      <c r="G3075" s="1">
        <v>6.8999999999999999E-3</v>
      </c>
      <c r="H3075" s="1">
        <v>0.14330000000000001</v>
      </c>
      <c r="I3075" s="1">
        <v>0.34050000000000002</v>
      </c>
      <c r="J3075" s="1">
        <v>1.47E-2</v>
      </c>
      <c r="K3075" s="1">
        <v>0.20899999999999999</v>
      </c>
    </row>
    <row r="3076" spans="1:11" x14ac:dyDescent="0.25">
      <c r="A3076" t="s">
        <v>198</v>
      </c>
      <c r="B3076" t="s">
        <v>348</v>
      </c>
      <c r="C3076">
        <v>62</v>
      </c>
      <c r="D3076" t="s">
        <v>201</v>
      </c>
      <c r="E3076">
        <v>2625</v>
      </c>
      <c r="F3076" s="1">
        <v>0.13930000000000001</v>
      </c>
      <c r="G3076" s="1">
        <v>4.7999999999999996E-3</v>
      </c>
      <c r="H3076" s="1">
        <v>0.1956</v>
      </c>
      <c r="I3076" s="1">
        <v>0.54459999999999997</v>
      </c>
      <c r="K3076" s="1">
        <v>0.1157</v>
      </c>
    </row>
    <row r="3077" spans="1:11" x14ac:dyDescent="0.25">
      <c r="A3077" t="s">
        <v>198</v>
      </c>
      <c r="B3077" t="s">
        <v>348</v>
      </c>
      <c r="C3077">
        <v>94</v>
      </c>
      <c r="D3077" t="s">
        <v>202</v>
      </c>
      <c r="E3077">
        <v>2625</v>
      </c>
      <c r="F3077" s="1">
        <v>0.28670000000000001</v>
      </c>
      <c r="G3077" s="1">
        <v>5.5599999999999997E-2</v>
      </c>
      <c r="H3077" s="1">
        <v>0.1048</v>
      </c>
      <c r="I3077" s="1">
        <v>0.378</v>
      </c>
      <c r="J3077" s="1">
        <v>3.3799999999999997E-2</v>
      </c>
      <c r="K3077" s="1">
        <v>0.1411</v>
      </c>
    </row>
    <row r="3078" spans="1:11" x14ac:dyDescent="0.25">
      <c r="A3078" t="s">
        <v>203</v>
      </c>
      <c r="B3078" t="s">
        <v>349</v>
      </c>
      <c r="C3078">
        <v>171</v>
      </c>
      <c r="D3078" t="s">
        <v>199</v>
      </c>
      <c r="E3078">
        <v>2625</v>
      </c>
      <c r="F3078" s="1">
        <v>0.19900000000000001</v>
      </c>
      <c r="G3078" s="1">
        <v>1.7600000000000001E-2</v>
      </c>
      <c r="H3078" s="1">
        <v>0.21010000000000001</v>
      </c>
      <c r="I3078" s="1">
        <v>0.14929999999999999</v>
      </c>
      <c r="K3078" s="1">
        <v>0.4239</v>
      </c>
    </row>
    <row r="3079" spans="1:11" x14ac:dyDescent="0.25">
      <c r="A3079" t="s">
        <v>203</v>
      </c>
      <c r="B3079" t="s">
        <v>348</v>
      </c>
      <c r="C3079">
        <v>42</v>
      </c>
      <c r="D3079" t="s">
        <v>199</v>
      </c>
      <c r="E3079">
        <v>2625</v>
      </c>
      <c r="F3079" s="1">
        <v>9.3399999999999997E-2</v>
      </c>
      <c r="G3079" s="1">
        <v>0.01</v>
      </c>
      <c r="H3079" s="1">
        <v>0.1103</v>
      </c>
      <c r="I3079" s="1">
        <v>0.54630000000000001</v>
      </c>
      <c r="K3079" s="1">
        <v>0.24010000000000001</v>
      </c>
    </row>
    <row r="3080" spans="1:11" x14ac:dyDescent="0.25">
      <c r="A3080" t="s">
        <v>203</v>
      </c>
      <c r="B3080" t="s">
        <v>350</v>
      </c>
      <c r="C3080">
        <v>306</v>
      </c>
      <c r="D3080" t="s">
        <v>199</v>
      </c>
      <c r="E3080">
        <v>2625</v>
      </c>
      <c r="F3080" s="1">
        <v>0.40439999999999998</v>
      </c>
      <c r="G3080" s="1">
        <v>5.4999999999999997E-3</v>
      </c>
      <c r="H3080" s="1">
        <v>9.01E-2</v>
      </c>
      <c r="I3080" s="1">
        <v>0.122</v>
      </c>
      <c r="J3080" s="1">
        <v>2.7000000000000001E-3</v>
      </c>
      <c r="K3080" s="1">
        <v>0.37519999999999998</v>
      </c>
    </row>
    <row r="3081" spans="1:11" x14ac:dyDescent="0.25">
      <c r="A3081" t="s">
        <v>203</v>
      </c>
      <c r="B3081" t="s">
        <v>348</v>
      </c>
      <c r="C3081">
        <v>299</v>
      </c>
      <c r="D3081" t="s">
        <v>200</v>
      </c>
      <c r="E3081">
        <v>2625</v>
      </c>
      <c r="F3081" s="1">
        <v>6.7199999999999996E-2</v>
      </c>
      <c r="G3081" s="1">
        <v>2.4E-2</v>
      </c>
      <c r="H3081" s="1">
        <v>9.6100000000000005E-2</v>
      </c>
      <c r="I3081" s="1">
        <v>0.70450000000000002</v>
      </c>
      <c r="K3081" s="1">
        <v>0.1082</v>
      </c>
    </row>
    <row r="3082" spans="1:11" x14ac:dyDescent="0.25">
      <c r="A3082" t="s">
        <v>203</v>
      </c>
      <c r="B3082" t="s">
        <v>349</v>
      </c>
      <c r="C3082">
        <v>108</v>
      </c>
      <c r="D3082" t="s">
        <v>200</v>
      </c>
      <c r="E3082">
        <v>2625</v>
      </c>
      <c r="F3082" s="1">
        <v>0.2147</v>
      </c>
      <c r="G3082" s="1">
        <v>3.2000000000000001E-2</v>
      </c>
      <c r="H3082" s="1">
        <v>8.3099999999999993E-2</v>
      </c>
      <c r="I3082" s="1">
        <v>0.53400000000000003</v>
      </c>
      <c r="K3082" s="1">
        <v>0.13619999999999999</v>
      </c>
    </row>
    <row r="3083" spans="1:11" x14ac:dyDescent="0.25">
      <c r="A3083" t="s">
        <v>203</v>
      </c>
      <c r="B3083" t="s">
        <v>350</v>
      </c>
      <c r="C3083">
        <v>94</v>
      </c>
      <c r="D3083" t="s">
        <v>200</v>
      </c>
      <c r="E3083">
        <v>2625</v>
      </c>
      <c r="F3083" s="1">
        <v>0.36709999999999998</v>
      </c>
      <c r="G3083" s="1">
        <v>3.09E-2</v>
      </c>
      <c r="H3083" s="1">
        <v>5.7700000000000001E-2</v>
      </c>
      <c r="I3083" s="1">
        <v>0.26169999999999999</v>
      </c>
      <c r="J3083" s="1">
        <v>1.55E-2</v>
      </c>
      <c r="K3083" s="1">
        <v>0.2671</v>
      </c>
    </row>
    <row r="3084" spans="1:11" x14ac:dyDescent="0.25">
      <c r="A3084" t="s">
        <v>203</v>
      </c>
      <c r="B3084" t="s">
        <v>348</v>
      </c>
      <c r="C3084">
        <v>62</v>
      </c>
      <c r="D3084" t="s">
        <v>201</v>
      </c>
      <c r="E3084">
        <v>2625</v>
      </c>
      <c r="F3084" s="1">
        <v>0.14000000000000001</v>
      </c>
      <c r="G3084" s="1">
        <v>5.57E-2</v>
      </c>
      <c r="H3084" s="1">
        <v>8.8099999999999998E-2</v>
      </c>
      <c r="I3084" s="1">
        <v>0.54220000000000002</v>
      </c>
      <c r="K3084" s="1">
        <v>0.1739</v>
      </c>
    </row>
    <row r="3085" spans="1:11" x14ac:dyDescent="0.25">
      <c r="A3085" t="s">
        <v>203</v>
      </c>
      <c r="B3085" t="s">
        <v>349</v>
      </c>
      <c r="C3085">
        <v>147</v>
      </c>
      <c r="D3085" t="s">
        <v>201</v>
      </c>
      <c r="E3085">
        <v>2625</v>
      </c>
      <c r="F3085" s="1">
        <v>0.12870000000000001</v>
      </c>
      <c r="H3085" s="1">
        <v>0.1638</v>
      </c>
      <c r="I3085" s="1">
        <v>0.62270000000000003</v>
      </c>
      <c r="K3085" s="1">
        <v>8.4900000000000003E-2</v>
      </c>
    </row>
    <row r="3086" spans="1:11" x14ac:dyDescent="0.25">
      <c r="A3086" t="s">
        <v>203</v>
      </c>
      <c r="B3086" t="s">
        <v>350</v>
      </c>
      <c r="C3086">
        <v>105</v>
      </c>
      <c r="D3086" t="s">
        <v>201</v>
      </c>
      <c r="E3086">
        <v>2625</v>
      </c>
      <c r="F3086" s="1">
        <v>0.2848</v>
      </c>
      <c r="G3086" s="1">
        <v>1.9E-2</v>
      </c>
      <c r="H3086" s="1">
        <v>0.1246</v>
      </c>
      <c r="I3086" s="1">
        <v>0.31480000000000002</v>
      </c>
      <c r="J3086" s="1">
        <v>3.2500000000000001E-2</v>
      </c>
      <c r="K3086" s="1">
        <v>0.22439999999999999</v>
      </c>
    </row>
    <row r="3087" spans="1:11" x14ac:dyDescent="0.25">
      <c r="A3087" t="s">
        <v>203</v>
      </c>
      <c r="B3087" t="s">
        <v>348</v>
      </c>
      <c r="C3087">
        <v>89</v>
      </c>
      <c r="D3087" t="s">
        <v>202</v>
      </c>
      <c r="E3087">
        <v>2625</v>
      </c>
      <c r="F3087" s="1">
        <v>8.6199999999999999E-2</v>
      </c>
      <c r="H3087" s="1">
        <v>7.7100000000000002E-2</v>
      </c>
      <c r="I3087" s="1">
        <v>0.74960000000000004</v>
      </c>
      <c r="J3087" s="1">
        <v>5.8999999999999999E-3</v>
      </c>
      <c r="K3087" s="1">
        <v>8.1100000000000005E-2</v>
      </c>
    </row>
    <row r="3088" spans="1:11" x14ac:dyDescent="0.25">
      <c r="A3088" t="s">
        <v>204</v>
      </c>
      <c r="B3088" t="s">
        <v>204</v>
      </c>
      <c r="C3088">
        <v>2625</v>
      </c>
      <c r="D3088" t="s">
        <v>204</v>
      </c>
      <c r="E3088">
        <v>2625</v>
      </c>
      <c r="F3088" s="1">
        <v>0.1772</v>
      </c>
      <c r="G3088" s="1">
        <v>2.3800000000000002E-2</v>
      </c>
      <c r="H3088" s="1">
        <v>0.1038</v>
      </c>
      <c r="I3088" s="1">
        <v>0.48980000000000001</v>
      </c>
      <c r="J3088" s="1">
        <v>6.7999999999999996E-3</v>
      </c>
      <c r="K3088" s="1">
        <v>0.1986</v>
      </c>
    </row>
    <row r="3090" spans="1:21" x14ac:dyDescent="0.25">
      <c r="A3090" t="s">
        <v>831</v>
      </c>
    </row>
    <row r="3091" spans="1:21" x14ac:dyDescent="0.25">
      <c r="A3091" t="s">
        <v>190</v>
      </c>
      <c r="B3091" t="s">
        <v>195</v>
      </c>
      <c r="C3091" t="s">
        <v>189</v>
      </c>
      <c r="D3091" t="s">
        <v>196</v>
      </c>
      <c r="E3091" t="s">
        <v>787</v>
      </c>
      <c r="F3091" t="s">
        <v>832</v>
      </c>
      <c r="G3091" t="s">
        <v>789</v>
      </c>
      <c r="H3091" t="s">
        <v>220</v>
      </c>
      <c r="I3091" t="s">
        <v>791</v>
      </c>
      <c r="J3091" t="s">
        <v>271</v>
      </c>
      <c r="K3091" t="s">
        <v>235</v>
      </c>
      <c r="L3091" t="s">
        <v>215</v>
      </c>
      <c r="M3091" t="s">
        <v>793</v>
      </c>
      <c r="N3091" t="s">
        <v>794</v>
      </c>
      <c r="O3091" t="s">
        <v>795</v>
      </c>
      <c r="P3091" t="s">
        <v>796</v>
      </c>
      <c r="Q3091" t="s">
        <v>797</v>
      </c>
      <c r="R3091" t="s">
        <v>798</v>
      </c>
      <c r="S3091" t="s">
        <v>800</v>
      </c>
      <c r="T3091" t="s">
        <v>801</v>
      </c>
    </row>
    <row r="3092" spans="1:21" x14ac:dyDescent="0.25">
      <c r="A3092" t="s">
        <v>198</v>
      </c>
      <c r="B3092">
        <v>81</v>
      </c>
      <c r="C3092" t="s">
        <v>197</v>
      </c>
      <c r="D3092">
        <v>2630</v>
      </c>
      <c r="F3092" s="1">
        <v>1.8800000000000001E-2</v>
      </c>
      <c r="H3092" s="1">
        <v>0.10340000000000001</v>
      </c>
      <c r="J3092" s="1">
        <v>0.50470000000000004</v>
      </c>
      <c r="N3092" s="1">
        <v>2.5100000000000001E-2</v>
      </c>
      <c r="O3092" s="1">
        <v>1.52E-2</v>
      </c>
      <c r="P3092" s="1">
        <v>7.6E-3</v>
      </c>
      <c r="Q3092" s="1">
        <v>1.12E-2</v>
      </c>
      <c r="R3092" s="1">
        <v>1.12E-2</v>
      </c>
      <c r="S3092" s="1">
        <v>0.35649999999999998</v>
      </c>
      <c r="T3092" s="1">
        <v>0.36280000000000001</v>
      </c>
    </row>
    <row r="3093" spans="1:21" x14ac:dyDescent="0.25">
      <c r="A3093" t="s">
        <v>198</v>
      </c>
      <c r="B3093">
        <v>368</v>
      </c>
      <c r="C3093" t="s">
        <v>199</v>
      </c>
      <c r="D3093">
        <v>2630</v>
      </c>
      <c r="F3093" s="1">
        <v>3.1600000000000003E-2</v>
      </c>
      <c r="G3093" s="1">
        <v>3.5000000000000001E-3</v>
      </c>
      <c r="H3093" s="1">
        <v>9.8500000000000004E-2</v>
      </c>
      <c r="J3093" s="1">
        <v>0.13439999999999999</v>
      </c>
      <c r="K3093" s="1">
        <v>1.2999999999999999E-3</v>
      </c>
      <c r="M3093" s="1">
        <v>4.7999999999999996E-3</v>
      </c>
      <c r="N3093" s="1">
        <v>3.6499999999999998E-2</v>
      </c>
      <c r="O3093" s="1">
        <v>7.0000000000000001E-3</v>
      </c>
      <c r="P3093" s="1">
        <v>3.7900000000000003E-2</v>
      </c>
      <c r="Q3093" s="1">
        <v>4.8999999999999998E-3</v>
      </c>
      <c r="R3093" s="1">
        <v>4.0899999999999999E-2</v>
      </c>
      <c r="S3093" s="1">
        <v>0.7157</v>
      </c>
      <c r="T3093" s="1">
        <v>0.60919999999999996</v>
      </c>
    </row>
    <row r="3094" spans="1:21" x14ac:dyDescent="0.25">
      <c r="A3094" t="s">
        <v>198</v>
      </c>
      <c r="B3094">
        <v>386</v>
      </c>
      <c r="C3094" t="s">
        <v>200</v>
      </c>
      <c r="D3094">
        <v>2630</v>
      </c>
      <c r="E3094" s="1">
        <v>1E-3</v>
      </c>
      <c r="F3094" s="1">
        <v>8.6E-3</v>
      </c>
      <c r="G3094" s="1">
        <v>1.0200000000000001E-2</v>
      </c>
      <c r="H3094" s="1">
        <v>0.1171</v>
      </c>
      <c r="I3094" s="1">
        <v>4.3E-3</v>
      </c>
      <c r="J3094" s="1">
        <v>0.39379999999999998</v>
      </c>
      <c r="K3094" s="1">
        <v>2.3999999999999998E-3</v>
      </c>
      <c r="L3094" s="1">
        <v>4.5999999999999999E-3</v>
      </c>
      <c r="M3094" s="1">
        <v>1.5100000000000001E-2</v>
      </c>
      <c r="N3094" s="1">
        <v>1.41E-2</v>
      </c>
      <c r="O3094" s="1">
        <v>1.83E-2</v>
      </c>
      <c r="P3094" s="1">
        <v>1.18E-2</v>
      </c>
      <c r="Q3094" s="1">
        <v>1.6999999999999999E-3</v>
      </c>
      <c r="R3094" s="1">
        <v>2.0899999999999998E-2</v>
      </c>
      <c r="S3094" s="1">
        <v>0.43540000000000001</v>
      </c>
      <c r="T3094" s="1">
        <v>0.41039999999999999</v>
      </c>
    </row>
    <row r="3095" spans="1:21" x14ac:dyDescent="0.25">
      <c r="A3095" t="s">
        <v>198</v>
      </c>
      <c r="B3095">
        <v>255</v>
      </c>
      <c r="C3095" t="s">
        <v>201</v>
      </c>
      <c r="D3095">
        <v>2630</v>
      </c>
      <c r="E3095" s="1">
        <v>3.0200000000000001E-2</v>
      </c>
      <c r="F3095" s="1">
        <v>9.7000000000000003E-3</v>
      </c>
      <c r="G3095" s="1">
        <v>5.5999999999999999E-3</v>
      </c>
      <c r="H3095" s="1">
        <v>0.1065</v>
      </c>
      <c r="I3095" s="1">
        <v>6.9999999999999999E-4</v>
      </c>
      <c r="J3095" s="1">
        <v>0.3231</v>
      </c>
      <c r="K3095" s="1">
        <v>3.7400000000000003E-2</v>
      </c>
      <c r="L3095" s="1">
        <v>6.9999999999999999E-4</v>
      </c>
      <c r="M3095" s="1">
        <v>3.7000000000000002E-3</v>
      </c>
      <c r="N3095" s="1">
        <v>3.3500000000000002E-2</v>
      </c>
      <c r="O3095" s="1">
        <v>1.38E-2</v>
      </c>
      <c r="P3095" s="1">
        <v>1.2200000000000001E-2</v>
      </c>
      <c r="Q3095" s="1">
        <v>1.38E-2</v>
      </c>
      <c r="R3095" s="1">
        <v>2.8000000000000001E-2</v>
      </c>
      <c r="S3095" s="1">
        <v>0.46710000000000002</v>
      </c>
      <c r="T3095" s="1">
        <v>0.45750000000000002</v>
      </c>
    </row>
    <row r="3096" spans="1:21" x14ac:dyDescent="0.25">
      <c r="A3096" t="s">
        <v>198</v>
      </c>
      <c r="B3096">
        <v>96</v>
      </c>
      <c r="C3096" t="s">
        <v>202</v>
      </c>
      <c r="D3096">
        <v>2630</v>
      </c>
      <c r="F3096" s="1">
        <v>3.3099999999999997E-2</v>
      </c>
      <c r="G3096" s="1">
        <v>9.4999999999999998E-3</v>
      </c>
      <c r="H3096" s="1">
        <v>6.9199999999999998E-2</v>
      </c>
      <c r="J3096" s="1">
        <v>0.41880000000000001</v>
      </c>
      <c r="K3096" s="1">
        <v>1.6199999999999999E-2</v>
      </c>
      <c r="L3096" s="1">
        <v>2.52E-2</v>
      </c>
      <c r="N3096" s="1">
        <v>3.73E-2</v>
      </c>
      <c r="O3096" s="1">
        <v>0.1033</v>
      </c>
      <c r="P3096" s="1">
        <v>1.7100000000000001E-2</v>
      </c>
      <c r="R3096" s="1">
        <v>1.5299999999999999E-2</v>
      </c>
      <c r="S3096" s="1">
        <v>0.34039999999999998</v>
      </c>
      <c r="T3096" s="1">
        <v>0.35289999999999999</v>
      </c>
    </row>
    <row r="3097" spans="1:21" x14ac:dyDescent="0.25">
      <c r="A3097" t="s">
        <v>203</v>
      </c>
      <c r="B3097">
        <v>530</v>
      </c>
      <c r="C3097" t="s">
        <v>199</v>
      </c>
      <c r="D3097">
        <v>2630</v>
      </c>
      <c r="E3097" s="1">
        <v>2.63E-2</v>
      </c>
      <c r="F3097" s="1">
        <v>1.4500000000000001E-2</v>
      </c>
      <c r="G3097" s="1">
        <v>8.5000000000000006E-3</v>
      </c>
      <c r="H3097" s="1">
        <v>1.89E-2</v>
      </c>
      <c r="J3097" s="1">
        <v>8.6499999999999994E-2</v>
      </c>
      <c r="K3097" s="1">
        <v>2.07E-2</v>
      </c>
      <c r="M3097" s="1">
        <v>3.6400000000000002E-2</v>
      </c>
      <c r="N3097" s="1">
        <v>9.3799999999999994E-2</v>
      </c>
      <c r="O3097" s="1">
        <v>3.9899999999999998E-2</v>
      </c>
      <c r="P3097" s="1">
        <v>1.6199999999999999E-2</v>
      </c>
      <c r="Q3097" s="1">
        <v>7.1999999999999998E-3</v>
      </c>
      <c r="R3097" s="1">
        <v>0.1613</v>
      </c>
      <c r="S3097" s="1">
        <v>0.84770000000000001</v>
      </c>
      <c r="T3097" s="1">
        <v>0.75570000000000004</v>
      </c>
    </row>
    <row r="3098" spans="1:21" x14ac:dyDescent="0.25">
      <c r="A3098" t="s">
        <v>203</v>
      </c>
      <c r="B3098">
        <v>503</v>
      </c>
      <c r="C3098" t="s">
        <v>200</v>
      </c>
      <c r="D3098">
        <v>2630</v>
      </c>
      <c r="E3098" s="1">
        <v>2.4299999999999999E-2</v>
      </c>
      <c r="F3098" s="1">
        <v>1.43E-2</v>
      </c>
      <c r="G3098" s="1">
        <v>9.1000000000000004E-3</v>
      </c>
      <c r="H3098" s="1">
        <v>2.5000000000000001E-2</v>
      </c>
      <c r="I3098" s="1">
        <v>3.3999999999999998E-3</v>
      </c>
      <c r="J3098" s="1">
        <v>0.39150000000000001</v>
      </c>
      <c r="K3098" s="1">
        <v>3.2000000000000002E-3</v>
      </c>
      <c r="L3098" s="1">
        <v>1.2999999999999999E-3</v>
      </c>
      <c r="M3098" s="1">
        <v>4.4600000000000001E-2</v>
      </c>
      <c r="N3098" s="1">
        <v>1.61E-2</v>
      </c>
      <c r="O3098" s="1">
        <v>1.52E-2</v>
      </c>
      <c r="P3098" s="1">
        <v>9.2999999999999992E-3</v>
      </c>
      <c r="Q3098" s="1">
        <v>1.23E-2</v>
      </c>
      <c r="R3098" s="1">
        <v>5.2999999999999999E-2</v>
      </c>
      <c r="S3098" s="1">
        <v>0.45669999999999999</v>
      </c>
      <c r="T3098" s="1">
        <v>0.45979999999999999</v>
      </c>
    </row>
    <row r="3099" spans="1:21" x14ac:dyDescent="0.25">
      <c r="A3099" t="s">
        <v>203</v>
      </c>
      <c r="B3099">
        <v>321</v>
      </c>
      <c r="C3099" t="s">
        <v>201</v>
      </c>
      <c r="D3099">
        <v>2630</v>
      </c>
      <c r="E3099" s="1">
        <v>2.4799999999999999E-2</v>
      </c>
      <c r="F3099" s="1">
        <v>3.5000000000000001E-3</v>
      </c>
      <c r="H3099" s="1">
        <v>4.6600000000000003E-2</v>
      </c>
      <c r="J3099" s="1">
        <v>0.22750000000000001</v>
      </c>
      <c r="K3099" s="1">
        <v>2.0000000000000001E-4</v>
      </c>
      <c r="M3099" s="1">
        <v>2.7300000000000001E-2</v>
      </c>
      <c r="N3099" s="1">
        <v>3.9199999999999999E-2</v>
      </c>
      <c r="O3099" s="1">
        <v>5.1000000000000004E-3</v>
      </c>
      <c r="P3099" s="1">
        <v>5.1400000000000001E-2</v>
      </c>
      <c r="Q3099" s="1">
        <v>9.5999999999999992E-3</v>
      </c>
      <c r="R3099" s="1">
        <v>3.95E-2</v>
      </c>
      <c r="S3099" s="1">
        <v>0.67430000000000001</v>
      </c>
      <c r="T3099" s="1">
        <v>0.58340000000000003</v>
      </c>
    </row>
    <row r="3100" spans="1:21" x14ac:dyDescent="0.25">
      <c r="A3100" t="s">
        <v>203</v>
      </c>
      <c r="B3100">
        <v>90</v>
      </c>
      <c r="C3100" t="s">
        <v>202</v>
      </c>
      <c r="D3100">
        <v>2630</v>
      </c>
      <c r="F3100" s="1">
        <v>1.7500000000000002E-2</v>
      </c>
      <c r="G3100" s="1">
        <v>2.3400000000000001E-2</v>
      </c>
      <c r="H3100" s="1">
        <v>3.0099999999999998E-2</v>
      </c>
      <c r="J3100" s="1">
        <v>0.62890000000000001</v>
      </c>
      <c r="L3100" s="1">
        <v>4.8999999999999998E-3</v>
      </c>
      <c r="N3100" s="1">
        <v>2.63E-2</v>
      </c>
      <c r="O3100" s="1">
        <v>8.8000000000000005E-3</v>
      </c>
      <c r="P3100" s="1">
        <v>1.6199999999999999E-2</v>
      </c>
      <c r="Q3100" s="1">
        <v>6.5100000000000005E-2</v>
      </c>
      <c r="R3100" s="1">
        <v>0.1123</v>
      </c>
      <c r="S3100" s="1">
        <v>0.24149999999999999</v>
      </c>
      <c r="T3100" s="1">
        <v>0.15160000000000001</v>
      </c>
    </row>
    <row r="3101" spans="1:21" x14ac:dyDescent="0.25">
      <c r="A3101" t="s">
        <v>204</v>
      </c>
      <c r="B3101">
        <v>2630</v>
      </c>
      <c r="C3101" t="s">
        <v>204</v>
      </c>
      <c r="D3101">
        <v>2630</v>
      </c>
      <c r="E3101" s="1">
        <v>1.38E-2</v>
      </c>
      <c r="F3101" s="1">
        <v>1.7299999999999999E-2</v>
      </c>
      <c r="G3101" s="1">
        <v>8.0000000000000002E-3</v>
      </c>
      <c r="H3101" s="1">
        <v>5.9499999999999997E-2</v>
      </c>
      <c r="I3101" s="1">
        <v>1.6000000000000001E-3</v>
      </c>
      <c r="J3101" s="1">
        <v>0.32929999999999998</v>
      </c>
      <c r="K3101" s="1">
        <v>7.4000000000000003E-3</v>
      </c>
      <c r="L3101" s="1">
        <v>3.7000000000000002E-3</v>
      </c>
      <c r="M3101" s="1">
        <v>2.2599999999999999E-2</v>
      </c>
      <c r="N3101" s="1">
        <v>3.3799999999999997E-2</v>
      </c>
      <c r="O3101" s="1">
        <v>2.52E-2</v>
      </c>
      <c r="P3101" s="1">
        <v>1.7500000000000002E-2</v>
      </c>
      <c r="Q3101" s="1">
        <v>1.0699999999999999E-2</v>
      </c>
      <c r="R3101" s="1">
        <v>5.6500000000000002E-2</v>
      </c>
      <c r="S3101" s="1">
        <v>0.52180000000000004</v>
      </c>
      <c r="T3101" s="1">
        <v>0.4859</v>
      </c>
    </row>
    <row r="3103" spans="1:21" x14ac:dyDescent="0.25">
      <c r="A3103" t="s">
        <v>833</v>
      </c>
    </row>
    <row r="3104" spans="1:21" x14ac:dyDescent="0.25">
      <c r="A3104" t="s">
        <v>190</v>
      </c>
      <c r="B3104" t="s">
        <v>206</v>
      </c>
      <c r="C3104" t="s">
        <v>195</v>
      </c>
      <c r="D3104" t="s">
        <v>189</v>
      </c>
      <c r="E3104" t="s">
        <v>196</v>
      </c>
      <c r="F3104" t="s">
        <v>787</v>
      </c>
      <c r="G3104" t="s">
        <v>832</v>
      </c>
      <c r="H3104" t="s">
        <v>789</v>
      </c>
      <c r="I3104" t="s">
        <v>220</v>
      </c>
      <c r="J3104" t="s">
        <v>791</v>
      </c>
      <c r="K3104" t="s">
        <v>271</v>
      </c>
      <c r="L3104" t="s">
        <v>235</v>
      </c>
      <c r="M3104" t="s">
        <v>215</v>
      </c>
      <c r="N3104" t="s">
        <v>793</v>
      </c>
      <c r="O3104" t="s">
        <v>794</v>
      </c>
      <c r="P3104" t="s">
        <v>795</v>
      </c>
      <c r="Q3104" t="s">
        <v>796</v>
      </c>
      <c r="R3104" t="s">
        <v>797</v>
      </c>
      <c r="S3104" t="s">
        <v>798</v>
      </c>
      <c r="T3104" t="s">
        <v>800</v>
      </c>
      <c r="U3104" t="s">
        <v>801</v>
      </c>
    </row>
    <row r="3105" spans="1:21" s="29" customFormat="1" x14ac:dyDescent="0.25">
      <c r="A3105" s="29" t="s">
        <v>198</v>
      </c>
      <c r="B3105" s="29" t="s">
        <v>209</v>
      </c>
      <c r="C3105" s="29">
        <v>20</v>
      </c>
      <c r="D3105" s="29" t="s">
        <v>197</v>
      </c>
      <c r="E3105" s="29">
        <v>2630</v>
      </c>
      <c r="I3105" s="30">
        <v>0.11119999999999999</v>
      </c>
      <c r="K3105" s="30">
        <v>0.58260000000000001</v>
      </c>
      <c r="O3105" s="30">
        <v>5.3199999999999997E-2</v>
      </c>
      <c r="T3105" s="30">
        <v>0.253</v>
      </c>
      <c r="U3105" s="30">
        <v>0.22409999999999999</v>
      </c>
    </row>
    <row r="3106" spans="1:21" x14ac:dyDescent="0.25">
      <c r="A3106" t="s">
        <v>198</v>
      </c>
      <c r="B3106" t="s">
        <v>210</v>
      </c>
      <c r="C3106">
        <v>61</v>
      </c>
      <c r="D3106" t="s">
        <v>197</v>
      </c>
      <c r="E3106">
        <v>2630</v>
      </c>
      <c r="G3106" s="1">
        <v>2.5399999999999999E-2</v>
      </c>
      <c r="I3106" s="1">
        <v>0.10059999999999999</v>
      </c>
      <c r="K3106" s="1">
        <v>0.47699999999999998</v>
      </c>
      <c r="O3106" s="1">
        <v>1.52E-2</v>
      </c>
      <c r="P3106" s="1">
        <v>2.06E-2</v>
      </c>
      <c r="Q3106" s="1">
        <v>1.03E-2</v>
      </c>
      <c r="R3106" s="1">
        <v>1.52E-2</v>
      </c>
      <c r="S3106" s="1">
        <v>1.52E-2</v>
      </c>
      <c r="T3106" s="1">
        <v>0.39319999999999999</v>
      </c>
      <c r="U3106" s="1">
        <v>0.41210000000000002</v>
      </c>
    </row>
    <row r="3107" spans="1:21" x14ac:dyDescent="0.25">
      <c r="A3107" t="s">
        <v>198</v>
      </c>
      <c r="B3107" t="s">
        <v>209</v>
      </c>
      <c r="C3107">
        <v>76</v>
      </c>
      <c r="D3107" t="s">
        <v>199</v>
      </c>
      <c r="E3107">
        <v>2630</v>
      </c>
      <c r="H3107" s="1">
        <v>6.1999999999999998E-3</v>
      </c>
      <c r="I3107" s="1">
        <v>0.251</v>
      </c>
      <c r="K3107" s="1">
        <v>0.1958</v>
      </c>
      <c r="L3107" s="1">
        <v>3.3999999999999998E-3</v>
      </c>
      <c r="N3107" s="1">
        <v>1.2999999999999999E-3</v>
      </c>
      <c r="O3107" s="1">
        <v>1.8E-3</v>
      </c>
      <c r="P3107" s="1">
        <v>5.1999999999999998E-3</v>
      </c>
      <c r="S3107" s="1">
        <v>1.2999999999999999E-3</v>
      </c>
      <c r="T3107" s="1">
        <v>0.54679999999999995</v>
      </c>
      <c r="U3107" s="1">
        <v>0.43630000000000002</v>
      </c>
    </row>
    <row r="3108" spans="1:21" x14ac:dyDescent="0.25">
      <c r="A3108" t="s">
        <v>198</v>
      </c>
      <c r="B3108" t="s">
        <v>210</v>
      </c>
      <c r="C3108">
        <v>292</v>
      </c>
      <c r="D3108" t="s">
        <v>199</v>
      </c>
      <c r="E3108">
        <v>2630</v>
      </c>
      <c r="G3108" s="1">
        <v>4.1700000000000001E-2</v>
      </c>
      <c r="H3108" s="1">
        <v>2.5999999999999999E-3</v>
      </c>
      <c r="I3108" s="1">
        <v>4.9799999999999997E-2</v>
      </c>
      <c r="K3108" s="1">
        <v>0.1148</v>
      </c>
      <c r="L3108" s="1">
        <v>5.9999999999999995E-4</v>
      </c>
      <c r="N3108" s="1">
        <v>5.8999999999999999E-3</v>
      </c>
      <c r="O3108" s="1">
        <v>4.7500000000000001E-2</v>
      </c>
      <c r="P3108" s="1">
        <v>7.6E-3</v>
      </c>
      <c r="Q3108" s="1">
        <v>0.05</v>
      </c>
      <c r="R3108" s="1">
        <v>6.4000000000000003E-3</v>
      </c>
      <c r="S3108" s="1">
        <v>5.3499999999999999E-2</v>
      </c>
      <c r="T3108" s="1">
        <v>0.76959999999999995</v>
      </c>
      <c r="U3108" s="1">
        <v>0.66439999999999999</v>
      </c>
    </row>
    <row r="3109" spans="1:21" x14ac:dyDescent="0.25">
      <c r="A3109" t="s">
        <v>198</v>
      </c>
      <c r="B3109" t="s">
        <v>210</v>
      </c>
      <c r="C3109">
        <v>311</v>
      </c>
      <c r="D3109" t="s">
        <v>200</v>
      </c>
      <c r="E3109">
        <v>2630</v>
      </c>
      <c r="F3109" s="1">
        <v>1.1999999999999999E-3</v>
      </c>
      <c r="G3109" s="1">
        <v>8.6999999999999994E-3</v>
      </c>
      <c r="H3109" s="1">
        <v>1.2999999999999999E-3</v>
      </c>
      <c r="I3109" s="1">
        <v>8.6099999999999996E-2</v>
      </c>
      <c r="J3109" s="1">
        <v>5.4000000000000003E-3</v>
      </c>
      <c r="K3109" s="1">
        <v>0.4118</v>
      </c>
      <c r="L3109" s="1">
        <v>1E-4</v>
      </c>
      <c r="M3109" s="1">
        <v>5.7999999999999996E-3</v>
      </c>
      <c r="N3109" s="1">
        <v>1.3299999999999999E-2</v>
      </c>
      <c r="O3109" s="1">
        <v>1.2E-2</v>
      </c>
      <c r="P3109" s="1">
        <v>1.7399999999999999E-2</v>
      </c>
      <c r="Q3109" s="1">
        <v>1.49E-2</v>
      </c>
      <c r="R3109" s="1">
        <v>2.2000000000000001E-3</v>
      </c>
      <c r="S3109" s="1">
        <v>2.5399999999999999E-2</v>
      </c>
      <c r="T3109" s="1">
        <v>0.45269999999999999</v>
      </c>
      <c r="U3109" s="1">
        <v>0.42459999999999998</v>
      </c>
    </row>
    <row r="3110" spans="1:21" x14ac:dyDescent="0.25">
      <c r="A3110" t="s">
        <v>198</v>
      </c>
      <c r="B3110" t="s">
        <v>209</v>
      </c>
      <c r="C3110">
        <v>75</v>
      </c>
      <c r="D3110" t="s">
        <v>200</v>
      </c>
      <c r="E3110">
        <v>2630</v>
      </c>
      <c r="G3110" s="1">
        <v>8.2000000000000007E-3</v>
      </c>
      <c r="H3110" s="1">
        <v>4.36E-2</v>
      </c>
      <c r="I3110" s="1">
        <v>0.23350000000000001</v>
      </c>
      <c r="K3110" s="1">
        <v>0.32619999999999999</v>
      </c>
      <c r="L3110" s="1">
        <v>1.0800000000000001E-2</v>
      </c>
      <c r="N3110" s="1">
        <v>2.1899999999999999E-2</v>
      </c>
      <c r="O3110" s="1">
        <v>2.1899999999999999E-2</v>
      </c>
      <c r="P3110" s="1">
        <v>2.1899999999999999E-2</v>
      </c>
      <c r="S3110" s="1">
        <v>3.8E-3</v>
      </c>
      <c r="T3110" s="1">
        <v>0.37030000000000002</v>
      </c>
      <c r="U3110" s="1">
        <v>0.35730000000000001</v>
      </c>
    </row>
    <row r="3111" spans="1:21" x14ac:dyDescent="0.25">
      <c r="A3111" t="s">
        <v>198</v>
      </c>
      <c r="B3111" t="s">
        <v>209</v>
      </c>
      <c r="C3111">
        <v>52</v>
      </c>
      <c r="D3111" t="s">
        <v>201</v>
      </c>
      <c r="E3111">
        <v>2630</v>
      </c>
      <c r="F3111" s="1">
        <v>6.4999999999999997E-3</v>
      </c>
      <c r="I3111" s="1">
        <v>0.1608</v>
      </c>
      <c r="K3111" s="1">
        <v>0.23280000000000001</v>
      </c>
      <c r="M3111" s="1">
        <v>3.5000000000000001E-3</v>
      </c>
      <c r="N3111" s="1">
        <v>1.29E-2</v>
      </c>
      <c r="O3111" s="1">
        <v>6.4999999999999997E-3</v>
      </c>
      <c r="P3111" s="1">
        <v>1.9699999999999999E-2</v>
      </c>
      <c r="R3111" s="1">
        <v>2.3199999999999998E-2</v>
      </c>
      <c r="S3111" s="1">
        <v>2.6700000000000002E-2</v>
      </c>
      <c r="T3111" s="1">
        <v>0.51270000000000004</v>
      </c>
      <c r="U3111" s="1">
        <v>0.50460000000000005</v>
      </c>
    </row>
    <row r="3112" spans="1:21" x14ac:dyDescent="0.25">
      <c r="A3112" t="s">
        <v>198</v>
      </c>
      <c r="B3112" t="s">
        <v>210</v>
      </c>
      <c r="C3112">
        <v>203</v>
      </c>
      <c r="D3112" t="s">
        <v>201</v>
      </c>
      <c r="E3112">
        <v>2630</v>
      </c>
      <c r="F3112" s="1">
        <v>3.5799999999999998E-2</v>
      </c>
      <c r="G3112" s="1">
        <v>1.2E-2</v>
      </c>
      <c r="H3112" s="1">
        <v>6.8999999999999999E-3</v>
      </c>
      <c r="I3112" s="1">
        <v>9.3600000000000003E-2</v>
      </c>
      <c r="J3112" s="1">
        <v>8.0000000000000004E-4</v>
      </c>
      <c r="K3112" s="1">
        <v>0.34470000000000001</v>
      </c>
      <c r="L3112" s="1">
        <v>4.6300000000000001E-2</v>
      </c>
      <c r="N3112" s="1">
        <v>1.5E-3</v>
      </c>
      <c r="O3112" s="1">
        <v>3.9899999999999998E-2</v>
      </c>
      <c r="P3112" s="1">
        <v>1.24E-2</v>
      </c>
      <c r="Q3112" s="1">
        <v>1.5100000000000001E-2</v>
      </c>
      <c r="R3112" s="1">
        <v>1.1599999999999999E-2</v>
      </c>
      <c r="S3112" s="1">
        <v>2.8400000000000002E-2</v>
      </c>
      <c r="T3112" s="1">
        <v>0.45619999999999999</v>
      </c>
      <c r="U3112" s="1">
        <v>0.44629999999999997</v>
      </c>
    </row>
    <row r="3113" spans="1:21" x14ac:dyDescent="0.25">
      <c r="A3113" t="s">
        <v>198</v>
      </c>
      <c r="B3113" t="s">
        <v>210</v>
      </c>
      <c r="C3113">
        <v>71</v>
      </c>
      <c r="D3113" t="s">
        <v>202</v>
      </c>
      <c r="E3113">
        <v>2630</v>
      </c>
      <c r="G3113" s="1">
        <v>4.6600000000000003E-2</v>
      </c>
      <c r="I3113" s="1">
        <v>5.8299999999999998E-2</v>
      </c>
      <c r="K3113" s="1">
        <v>0.4239</v>
      </c>
      <c r="L3113" s="1">
        <v>2.2700000000000001E-2</v>
      </c>
      <c r="M3113" s="1">
        <v>3.5499999999999997E-2</v>
      </c>
      <c r="O3113" s="1">
        <v>3.5999999999999999E-3</v>
      </c>
      <c r="P3113" s="1">
        <v>0.1099</v>
      </c>
      <c r="Q3113" s="1">
        <v>3.5999999999999999E-3</v>
      </c>
      <c r="T3113" s="1">
        <v>0.34749999999999998</v>
      </c>
      <c r="U3113" s="1">
        <v>0.36770000000000003</v>
      </c>
    </row>
    <row r="3114" spans="1:21" s="29" customFormat="1" x14ac:dyDescent="0.25">
      <c r="A3114" s="29" t="s">
        <v>198</v>
      </c>
      <c r="B3114" s="29" t="s">
        <v>209</v>
      </c>
      <c r="C3114" s="29">
        <v>25</v>
      </c>
      <c r="D3114" s="29" t="s">
        <v>202</v>
      </c>
      <c r="E3114" s="29">
        <v>2630</v>
      </c>
      <c r="H3114" s="30">
        <v>3.27E-2</v>
      </c>
      <c r="I3114" s="30">
        <v>9.5699999999999993E-2</v>
      </c>
      <c r="K3114" s="30">
        <v>0.40649999999999997</v>
      </c>
      <c r="O3114" s="30">
        <v>0.1197</v>
      </c>
      <c r="P3114" s="30">
        <v>8.6999999999999994E-2</v>
      </c>
      <c r="Q3114" s="30">
        <v>5.0200000000000002E-2</v>
      </c>
      <c r="S3114" s="30">
        <v>5.2699999999999997E-2</v>
      </c>
      <c r="T3114" s="30">
        <v>0.32319999999999999</v>
      </c>
      <c r="U3114" s="30">
        <v>0.31669999999999998</v>
      </c>
    </row>
    <row r="3115" spans="1:21" x14ac:dyDescent="0.25">
      <c r="A3115" t="s">
        <v>203</v>
      </c>
      <c r="B3115" t="s">
        <v>209</v>
      </c>
      <c r="C3115">
        <v>126</v>
      </c>
      <c r="D3115" t="s">
        <v>199</v>
      </c>
      <c r="E3115">
        <v>2630</v>
      </c>
      <c r="F3115" s="1">
        <v>6.2700000000000006E-2</v>
      </c>
      <c r="G3115" s="1">
        <v>4.0500000000000001E-2</v>
      </c>
      <c r="I3115" s="1">
        <v>3.5799999999999998E-2</v>
      </c>
      <c r="K3115" s="1">
        <v>4.5600000000000002E-2</v>
      </c>
      <c r="L3115" s="1">
        <v>3.5400000000000001E-2</v>
      </c>
      <c r="N3115" s="1">
        <v>3.8600000000000002E-2</v>
      </c>
      <c r="O3115" s="1">
        <v>8.6900000000000005E-2</v>
      </c>
      <c r="P3115" s="1">
        <v>3.8E-3</v>
      </c>
      <c r="Q3115" s="1">
        <v>6.1000000000000004E-3</v>
      </c>
      <c r="R3115" s="1">
        <v>2.0999999999999999E-3</v>
      </c>
      <c r="S3115" s="1">
        <v>0.1573</v>
      </c>
      <c r="T3115" s="1">
        <v>0.88</v>
      </c>
      <c r="U3115" s="1">
        <v>0.69889999999999997</v>
      </c>
    </row>
    <row r="3116" spans="1:21" x14ac:dyDescent="0.25">
      <c r="A3116" t="s">
        <v>203</v>
      </c>
      <c r="B3116" t="s">
        <v>210</v>
      </c>
      <c r="C3116">
        <v>404</v>
      </c>
      <c r="D3116" t="s">
        <v>199</v>
      </c>
      <c r="E3116">
        <v>2630</v>
      </c>
      <c r="F3116" s="1">
        <v>1.2800000000000001E-2</v>
      </c>
      <c r="G3116" s="1">
        <v>4.8999999999999998E-3</v>
      </c>
      <c r="H3116" s="1">
        <v>1.1599999999999999E-2</v>
      </c>
      <c r="I3116" s="1">
        <v>1.2699999999999999E-2</v>
      </c>
      <c r="K3116" s="1">
        <v>0.1017</v>
      </c>
      <c r="L3116" s="1">
        <v>1.52E-2</v>
      </c>
      <c r="N3116" s="1">
        <v>3.56E-2</v>
      </c>
      <c r="O3116" s="1">
        <v>9.64E-2</v>
      </c>
      <c r="P3116" s="1">
        <v>5.33E-2</v>
      </c>
      <c r="Q3116" s="1">
        <v>1.9900000000000001E-2</v>
      </c>
      <c r="R3116" s="1">
        <v>9.1000000000000004E-3</v>
      </c>
      <c r="S3116" s="1">
        <v>0.1628</v>
      </c>
      <c r="T3116" s="1">
        <v>0.83579999999999999</v>
      </c>
      <c r="U3116" s="1">
        <v>0.77669999999999995</v>
      </c>
    </row>
    <row r="3117" spans="1:21" x14ac:dyDescent="0.25">
      <c r="A3117" t="s">
        <v>203</v>
      </c>
      <c r="B3117" t="s">
        <v>210</v>
      </c>
      <c r="C3117">
        <v>367</v>
      </c>
      <c r="D3117" t="s">
        <v>200</v>
      </c>
      <c r="E3117">
        <v>2630</v>
      </c>
      <c r="F3117" s="1">
        <v>2.23E-2</v>
      </c>
      <c r="G3117" s="1">
        <v>1.8200000000000001E-2</v>
      </c>
      <c r="H3117" s="1">
        <v>1.34E-2</v>
      </c>
      <c r="I3117" s="1">
        <v>1.8700000000000001E-2</v>
      </c>
      <c r="J3117" s="1">
        <v>5.0000000000000001E-3</v>
      </c>
      <c r="K3117" s="1">
        <v>0.4007</v>
      </c>
      <c r="L3117" s="1">
        <v>3.8E-3</v>
      </c>
      <c r="M3117" s="1">
        <v>2.0000000000000001E-4</v>
      </c>
      <c r="N3117" s="1">
        <v>4.2799999999999998E-2</v>
      </c>
      <c r="O3117" s="1">
        <v>1.9400000000000001E-2</v>
      </c>
      <c r="P3117" s="1">
        <v>2.0799999999999999E-2</v>
      </c>
      <c r="Q3117" s="1">
        <v>6.6E-3</v>
      </c>
      <c r="R3117" s="1">
        <v>1.8100000000000002E-2</v>
      </c>
      <c r="S3117" s="1">
        <v>0.06</v>
      </c>
      <c r="T3117" s="1">
        <v>0.46129999999999999</v>
      </c>
      <c r="U3117" s="1">
        <v>0.44390000000000002</v>
      </c>
    </row>
    <row r="3118" spans="1:21" x14ac:dyDescent="0.25">
      <c r="A3118" t="s">
        <v>203</v>
      </c>
      <c r="B3118" t="s">
        <v>209</v>
      </c>
      <c r="C3118">
        <v>136</v>
      </c>
      <c r="D3118" t="s">
        <v>200</v>
      </c>
      <c r="E3118">
        <v>2630</v>
      </c>
      <c r="F3118" s="1">
        <v>2.8500000000000001E-2</v>
      </c>
      <c r="G3118" s="1">
        <v>6.1999999999999998E-3</v>
      </c>
      <c r="I3118" s="1">
        <v>3.8399999999999997E-2</v>
      </c>
      <c r="K3118" s="1">
        <v>0.37190000000000001</v>
      </c>
      <c r="L3118" s="1">
        <v>2E-3</v>
      </c>
      <c r="M3118" s="1">
        <v>3.8E-3</v>
      </c>
      <c r="N3118" s="1">
        <v>4.8300000000000003E-2</v>
      </c>
      <c r="O3118" s="1">
        <v>9.1000000000000004E-3</v>
      </c>
      <c r="P3118" s="1">
        <v>3.3E-3</v>
      </c>
      <c r="Q3118" s="1">
        <v>1.5100000000000001E-2</v>
      </c>
      <c r="S3118" s="1">
        <v>3.8199999999999998E-2</v>
      </c>
      <c r="T3118" s="1">
        <v>0.44690000000000002</v>
      </c>
      <c r="U3118" s="1">
        <v>0.49370000000000003</v>
      </c>
    </row>
    <row r="3119" spans="1:21" x14ac:dyDescent="0.25">
      <c r="A3119" t="s">
        <v>203</v>
      </c>
      <c r="B3119" t="s">
        <v>209</v>
      </c>
      <c r="C3119">
        <v>86</v>
      </c>
      <c r="D3119" t="s">
        <v>201</v>
      </c>
      <c r="E3119">
        <v>2630</v>
      </c>
      <c r="F3119" s="1">
        <v>4.4999999999999998E-2</v>
      </c>
      <c r="G3119" s="1">
        <v>5.9999999999999995E-4</v>
      </c>
      <c r="I3119" s="1">
        <v>0.1109</v>
      </c>
      <c r="K3119" s="1">
        <v>6.2100000000000002E-2</v>
      </c>
      <c r="N3119" s="1">
        <v>1.21E-2</v>
      </c>
      <c r="O3119" s="1">
        <v>7.3499999999999996E-2</v>
      </c>
      <c r="Q3119" s="1">
        <v>9.4700000000000006E-2</v>
      </c>
      <c r="S3119" s="1">
        <v>3.1300000000000001E-2</v>
      </c>
      <c r="T3119" s="1">
        <v>0.75449999999999995</v>
      </c>
      <c r="U3119" s="1">
        <v>0.6774</v>
      </c>
    </row>
    <row r="3120" spans="1:21" x14ac:dyDescent="0.25">
      <c r="A3120" t="s">
        <v>203</v>
      </c>
      <c r="B3120" t="s">
        <v>210</v>
      </c>
      <c r="C3120">
        <v>235</v>
      </c>
      <c r="D3120" t="s">
        <v>201</v>
      </c>
      <c r="E3120">
        <v>2630</v>
      </c>
      <c r="F3120" s="1">
        <v>1.5800000000000002E-2</v>
      </c>
      <c r="G3120" s="1">
        <v>4.7999999999999996E-3</v>
      </c>
      <c r="I3120" s="1">
        <v>1.78E-2</v>
      </c>
      <c r="K3120" s="1">
        <v>0.30149999999999999</v>
      </c>
      <c r="L3120" s="1">
        <v>2.9999999999999997E-4</v>
      </c>
      <c r="N3120" s="1">
        <v>3.4099999999999998E-2</v>
      </c>
      <c r="O3120" s="1">
        <v>2.3800000000000002E-2</v>
      </c>
      <c r="P3120" s="1">
        <v>7.4000000000000003E-3</v>
      </c>
      <c r="Q3120" s="1">
        <v>3.2000000000000001E-2</v>
      </c>
      <c r="R3120" s="1">
        <v>1.3899999999999999E-2</v>
      </c>
      <c r="S3120" s="1">
        <v>4.3200000000000002E-2</v>
      </c>
      <c r="T3120" s="1">
        <v>0.63839999999999997</v>
      </c>
      <c r="U3120" s="1">
        <v>0.54139999999999999</v>
      </c>
    </row>
    <row r="3121" spans="1:21" s="29" customFormat="1" x14ac:dyDescent="0.25">
      <c r="A3121" s="29" t="s">
        <v>203</v>
      </c>
      <c r="B3121" s="29" t="s">
        <v>209</v>
      </c>
      <c r="C3121" s="29">
        <v>27</v>
      </c>
      <c r="D3121" s="29" t="s">
        <v>202</v>
      </c>
      <c r="E3121" s="29">
        <v>2630</v>
      </c>
      <c r="G3121" s="30">
        <v>6.3500000000000001E-2</v>
      </c>
      <c r="I3121" s="30">
        <v>3.6999999999999998E-2</v>
      </c>
      <c r="K3121" s="30">
        <v>0.74209999999999998</v>
      </c>
      <c r="O3121" s="30">
        <v>3.1699999999999999E-2</v>
      </c>
      <c r="R3121" s="30">
        <v>1.35E-2</v>
      </c>
      <c r="S3121" s="30">
        <v>8.0399999999999999E-2</v>
      </c>
      <c r="T3121" s="30">
        <v>0.17560000000000001</v>
      </c>
    </row>
    <row r="3122" spans="1:21" x14ac:dyDescent="0.25">
      <c r="A3122" t="s">
        <v>203</v>
      </c>
      <c r="B3122" t="s">
        <v>210</v>
      </c>
      <c r="C3122">
        <v>63</v>
      </c>
      <c r="D3122" t="s">
        <v>202</v>
      </c>
      <c r="E3122">
        <v>2630</v>
      </c>
      <c r="H3122" s="1">
        <v>3.2399999999999998E-2</v>
      </c>
      <c r="I3122" s="1">
        <v>2.75E-2</v>
      </c>
      <c r="K3122" s="1">
        <v>0.58560000000000001</v>
      </c>
      <c r="M3122" s="1">
        <v>6.7999999999999996E-3</v>
      </c>
      <c r="O3122" s="1">
        <v>2.4199999999999999E-2</v>
      </c>
      <c r="P3122" s="1">
        <v>1.21E-2</v>
      </c>
      <c r="Q3122" s="1">
        <v>2.23E-2</v>
      </c>
      <c r="R3122" s="1">
        <v>8.48E-2</v>
      </c>
      <c r="S3122" s="1">
        <v>0.1244</v>
      </c>
      <c r="T3122" s="1">
        <v>0.2666</v>
      </c>
      <c r="U3122" s="1">
        <v>0.20949999999999999</v>
      </c>
    </row>
    <row r="3123" spans="1:21" x14ac:dyDescent="0.25">
      <c r="A3123" t="s">
        <v>204</v>
      </c>
      <c r="B3123" t="s">
        <v>204</v>
      </c>
      <c r="C3123">
        <v>2630</v>
      </c>
      <c r="D3123" t="s">
        <v>204</v>
      </c>
      <c r="E3123">
        <v>2630</v>
      </c>
      <c r="F3123" s="1">
        <v>1.38E-2</v>
      </c>
      <c r="G3123" s="1">
        <v>1.7299999999999999E-2</v>
      </c>
      <c r="H3123" s="1">
        <v>8.0000000000000002E-3</v>
      </c>
      <c r="I3123" s="1">
        <v>5.9499999999999997E-2</v>
      </c>
      <c r="J3123" s="1">
        <v>1.6000000000000001E-3</v>
      </c>
      <c r="K3123" s="1">
        <v>0.32929999999999998</v>
      </c>
      <c r="L3123" s="1">
        <v>7.4000000000000003E-3</v>
      </c>
      <c r="M3123" s="1">
        <v>3.7000000000000002E-3</v>
      </c>
      <c r="N3123" s="1">
        <v>2.2599999999999999E-2</v>
      </c>
      <c r="O3123" s="1">
        <v>3.3799999999999997E-2</v>
      </c>
      <c r="P3123" s="1">
        <v>2.52E-2</v>
      </c>
      <c r="Q3123" s="1">
        <v>1.7500000000000002E-2</v>
      </c>
      <c r="R3123" s="1">
        <v>1.0699999999999999E-2</v>
      </c>
      <c r="S3123" s="1">
        <v>5.6500000000000002E-2</v>
      </c>
      <c r="T3123" s="1">
        <v>0.52180000000000004</v>
      </c>
      <c r="U3123" s="1">
        <v>0.4859</v>
      </c>
    </row>
    <row r="3125" spans="1:21" x14ac:dyDescent="0.25">
      <c r="A3125" t="s">
        <v>834</v>
      </c>
    </row>
    <row r="3126" spans="1:21" x14ac:dyDescent="0.25">
      <c r="A3126" t="s">
        <v>190</v>
      </c>
      <c r="B3126" t="s">
        <v>206</v>
      </c>
      <c r="C3126" t="s">
        <v>195</v>
      </c>
      <c r="D3126" t="s">
        <v>189</v>
      </c>
      <c r="E3126" t="s">
        <v>196</v>
      </c>
      <c r="F3126" t="s">
        <v>787</v>
      </c>
      <c r="G3126" t="s">
        <v>832</v>
      </c>
      <c r="H3126" t="s">
        <v>789</v>
      </c>
      <c r="I3126" t="s">
        <v>220</v>
      </c>
      <c r="J3126" t="s">
        <v>791</v>
      </c>
      <c r="K3126" t="s">
        <v>271</v>
      </c>
      <c r="L3126" t="s">
        <v>235</v>
      </c>
      <c r="M3126" t="s">
        <v>215</v>
      </c>
      <c r="N3126" t="s">
        <v>793</v>
      </c>
      <c r="O3126" t="s">
        <v>794</v>
      </c>
      <c r="P3126" t="s">
        <v>795</v>
      </c>
      <c r="Q3126" t="s">
        <v>796</v>
      </c>
      <c r="R3126" t="s">
        <v>797</v>
      </c>
      <c r="S3126" t="s">
        <v>798</v>
      </c>
      <c r="T3126" t="s">
        <v>800</v>
      </c>
      <c r="U3126" t="s">
        <v>801</v>
      </c>
    </row>
    <row r="3127" spans="1:21" x14ac:dyDescent="0.25">
      <c r="A3127" t="s">
        <v>198</v>
      </c>
      <c r="B3127" t="s">
        <v>228</v>
      </c>
      <c r="C3127">
        <v>32</v>
      </c>
      <c r="D3127" t="s">
        <v>197</v>
      </c>
      <c r="E3127">
        <v>2630</v>
      </c>
      <c r="G3127" s="1">
        <v>1.7899999999999999E-2</v>
      </c>
      <c r="I3127" s="1">
        <v>5.3699999999999998E-2</v>
      </c>
      <c r="K3127" s="1">
        <v>0.69389999999999996</v>
      </c>
      <c r="O3127" s="1">
        <v>2.64E-2</v>
      </c>
      <c r="T3127" s="1">
        <v>0.25240000000000001</v>
      </c>
      <c r="U3127" s="1">
        <v>0.25240000000000001</v>
      </c>
    </row>
    <row r="3128" spans="1:21" x14ac:dyDescent="0.25">
      <c r="A3128" t="s">
        <v>198</v>
      </c>
      <c r="B3128" t="s">
        <v>229</v>
      </c>
      <c r="C3128">
        <v>49</v>
      </c>
      <c r="D3128" t="s">
        <v>197</v>
      </c>
      <c r="E3128">
        <v>2630</v>
      </c>
      <c r="G3128" s="1">
        <v>1.9400000000000001E-2</v>
      </c>
      <c r="I3128" s="1">
        <v>0.14000000000000001</v>
      </c>
      <c r="K3128" s="1">
        <v>0.3654</v>
      </c>
      <c r="O3128" s="1">
        <v>2.4199999999999999E-2</v>
      </c>
      <c r="P3128" s="1">
        <v>2.63E-2</v>
      </c>
      <c r="Q3128" s="1">
        <v>1.32E-2</v>
      </c>
      <c r="R3128" s="1">
        <v>1.9400000000000001E-2</v>
      </c>
      <c r="S3128" s="1">
        <v>1.9400000000000001E-2</v>
      </c>
      <c r="T3128" s="1">
        <v>0.433</v>
      </c>
      <c r="U3128" s="1">
        <v>0.44409999999999999</v>
      </c>
    </row>
    <row r="3129" spans="1:21" x14ac:dyDescent="0.25">
      <c r="A3129" t="s">
        <v>198</v>
      </c>
      <c r="B3129" t="s">
        <v>228</v>
      </c>
      <c r="C3129">
        <v>145</v>
      </c>
      <c r="D3129" t="s">
        <v>199</v>
      </c>
      <c r="E3129">
        <v>2630</v>
      </c>
      <c r="H3129" s="1">
        <v>7.7999999999999996E-3</v>
      </c>
      <c r="I3129" s="1">
        <v>0.1013</v>
      </c>
      <c r="K3129" s="1">
        <v>0.23899999999999999</v>
      </c>
      <c r="L3129" s="1">
        <v>4.8999999999999998E-3</v>
      </c>
      <c r="N3129" s="1">
        <v>9.5999999999999992E-3</v>
      </c>
      <c r="O3129" s="1">
        <v>6.8000000000000005E-2</v>
      </c>
      <c r="P3129" s="1">
        <v>9.9000000000000008E-3</v>
      </c>
      <c r="Q3129" s="1">
        <v>1.1999999999999999E-3</v>
      </c>
      <c r="S3129" s="1">
        <v>2.8999999999999998E-3</v>
      </c>
      <c r="T3129" s="1">
        <v>0.57850000000000001</v>
      </c>
      <c r="U3129" s="1">
        <v>0.55430000000000001</v>
      </c>
    </row>
    <row r="3130" spans="1:21" x14ac:dyDescent="0.25">
      <c r="A3130" t="s">
        <v>198</v>
      </c>
      <c r="B3130" t="s">
        <v>229</v>
      </c>
      <c r="C3130">
        <v>213</v>
      </c>
      <c r="D3130" t="s">
        <v>199</v>
      </c>
      <c r="E3130">
        <v>2630</v>
      </c>
      <c r="G3130" s="1">
        <v>4.2999999999999997E-2</v>
      </c>
      <c r="H3130" s="1">
        <v>2E-3</v>
      </c>
      <c r="I3130" s="1">
        <v>9.69E-2</v>
      </c>
      <c r="K3130" s="1">
        <v>9.7699999999999995E-2</v>
      </c>
      <c r="N3130" s="1">
        <v>2.8E-3</v>
      </c>
      <c r="O3130" s="1">
        <v>2.58E-2</v>
      </c>
      <c r="P3130" s="1">
        <v>6.1000000000000004E-3</v>
      </c>
      <c r="Q3130" s="1">
        <v>5.11E-2</v>
      </c>
      <c r="R3130" s="1">
        <v>6.6E-3</v>
      </c>
      <c r="S3130" s="1">
        <v>5.45E-2</v>
      </c>
      <c r="T3130" s="1">
        <v>0.76429999999999998</v>
      </c>
      <c r="U3130" s="1">
        <v>0.62809999999999999</v>
      </c>
    </row>
    <row r="3131" spans="1:21" x14ac:dyDescent="0.25">
      <c r="A3131" t="s">
        <v>198</v>
      </c>
      <c r="B3131" t="s">
        <v>229</v>
      </c>
      <c r="C3131">
        <v>270</v>
      </c>
      <c r="D3131" t="s">
        <v>200</v>
      </c>
      <c r="E3131">
        <v>2630</v>
      </c>
      <c r="F3131" s="1">
        <v>1.2999999999999999E-3</v>
      </c>
      <c r="G3131" s="1">
        <v>5.1999999999999998E-3</v>
      </c>
      <c r="H3131" s="1">
        <v>1.3299999999999999E-2</v>
      </c>
      <c r="I3131" s="1">
        <v>0.1323</v>
      </c>
      <c r="K3131" s="1">
        <v>0.3659</v>
      </c>
      <c r="L3131" s="1">
        <v>1E-4</v>
      </c>
      <c r="M3131" s="1">
        <v>6.0000000000000001E-3</v>
      </c>
      <c r="N3131" s="1">
        <v>7.7000000000000002E-3</v>
      </c>
      <c r="O3131" s="1">
        <v>1.8499999999999999E-2</v>
      </c>
      <c r="P3131" s="1">
        <v>1.7999999999999999E-2</v>
      </c>
      <c r="Q3131" s="1">
        <v>1.46E-2</v>
      </c>
      <c r="S3131" s="1">
        <v>2.01E-2</v>
      </c>
      <c r="T3131" s="1">
        <v>0.4526</v>
      </c>
      <c r="U3131" s="1">
        <v>0.42870000000000003</v>
      </c>
    </row>
    <row r="3132" spans="1:21" x14ac:dyDescent="0.25">
      <c r="A3132" t="s">
        <v>198</v>
      </c>
      <c r="B3132" t="s">
        <v>228</v>
      </c>
      <c r="C3132">
        <v>111</v>
      </c>
      <c r="D3132" t="s">
        <v>200</v>
      </c>
      <c r="E3132">
        <v>2630</v>
      </c>
      <c r="G3132" s="1">
        <v>0.02</v>
      </c>
      <c r="H3132" s="1">
        <v>4.0000000000000002E-4</v>
      </c>
      <c r="I3132" s="1">
        <v>7.0000000000000007E-2</v>
      </c>
      <c r="J3132" s="1">
        <v>1.8599999999999998E-2</v>
      </c>
      <c r="K3132" s="1">
        <v>0.49759999999999999</v>
      </c>
      <c r="N3132" s="1">
        <v>4.0099999999999997E-2</v>
      </c>
      <c r="P3132" s="1">
        <v>0.02</v>
      </c>
      <c r="Q3132" s="1">
        <v>2.7000000000000001E-3</v>
      </c>
      <c r="R3132" s="1">
        <v>7.4999999999999997E-3</v>
      </c>
      <c r="S3132" s="1">
        <v>2.3900000000000001E-2</v>
      </c>
      <c r="T3132" s="1">
        <v>0.3619</v>
      </c>
      <c r="U3132" s="1">
        <v>0.3327</v>
      </c>
    </row>
    <row r="3133" spans="1:21" x14ac:dyDescent="0.25">
      <c r="A3133" t="s">
        <v>198</v>
      </c>
      <c r="B3133" t="s">
        <v>228</v>
      </c>
      <c r="C3133">
        <v>94</v>
      </c>
      <c r="D3133" t="s">
        <v>201</v>
      </c>
      <c r="E3133">
        <v>2630</v>
      </c>
      <c r="I3133" s="1">
        <v>7.5499999999999998E-2</v>
      </c>
      <c r="K3133" s="1">
        <v>0.4824</v>
      </c>
      <c r="N3133" s="1">
        <v>1.17E-2</v>
      </c>
      <c r="O3133" s="1">
        <v>2.5499999999999998E-2</v>
      </c>
      <c r="S3133" s="1">
        <v>1.9900000000000001E-2</v>
      </c>
      <c r="T3133" s="1">
        <v>0.40129999999999999</v>
      </c>
      <c r="U3133" s="1">
        <v>0.37540000000000001</v>
      </c>
    </row>
    <row r="3134" spans="1:21" x14ac:dyDescent="0.25">
      <c r="A3134" t="s">
        <v>198</v>
      </c>
      <c r="B3134" t="s">
        <v>229</v>
      </c>
      <c r="C3134">
        <v>155</v>
      </c>
      <c r="D3134" t="s">
        <v>201</v>
      </c>
      <c r="E3134">
        <v>2630</v>
      </c>
      <c r="F3134" s="1">
        <v>3.8800000000000001E-2</v>
      </c>
      <c r="G3134" s="1">
        <v>1.24E-2</v>
      </c>
      <c r="H3134" s="1">
        <v>7.1999999999999998E-3</v>
      </c>
      <c r="I3134" s="1">
        <v>0.10979999999999999</v>
      </c>
      <c r="J3134" s="1">
        <v>8.9999999999999998E-4</v>
      </c>
      <c r="K3134" s="1">
        <v>0.28410000000000002</v>
      </c>
      <c r="L3134" s="1">
        <v>4.8099999999999997E-2</v>
      </c>
      <c r="M3134" s="1">
        <v>8.9999999999999998E-4</v>
      </c>
      <c r="N3134" s="1">
        <v>1.6000000000000001E-3</v>
      </c>
      <c r="O3134" s="1">
        <v>3.61E-2</v>
      </c>
      <c r="P3134" s="1">
        <v>1.78E-2</v>
      </c>
      <c r="Q3134" s="1">
        <v>1.5699999999999999E-2</v>
      </c>
      <c r="R3134" s="1">
        <v>1.78E-2</v>
      </c>
      <c r="S3134" s="1">
        <v>3.0700000000000002E-2</v>
      </c>
      <c r="T3134" s="1">
        <v>0.4844</v>
      </c>
      <c r="U3134" s="1">
        <v>0.47920000000000001</v>
      </c>
    </row>
    <row r="3135" spans="1:21" s="29" customFormat="1" x14ac:dyDescent="0.25">
      <c r="A3135" s="29" t="s">
        <v>198</v>
      </c>
      <c r="B3135" s="29" t="s">
        <v>228</v>
      </c>
      <c r="C3135" s="29">
        <v>28</v>
      </c>
      <c r="D3135" s="29" t="s">
        <v>202</v>
      </c>
      <c r="E3135" s="29">
        <v>2630</v>
      </c>
      <c r="G3135" s="30">
        <v>1.0699999999999999E-2</v>
      </c>
      <c r="I3135" s="30">
        <v>2.1499999999999998E-2</v>
      </c>
      <c r="K3135" s="30">
        <v>0.44109999999999999</v>
      </c>
      <c r="L3135" s="30">
        <v>6.83E-2</v>
      </c>
      <c r="M3135" s="30">
        <v>0.1067</v>
      </c>
      <c r="O3135" s="30">
        <v>5.0900000000000001E-2</v>
      </c>
      <c r="P3135" s="30">
        <v>6.4600000000000005E-2</v>
      </c>
      <c r="Q3135" s="30">
        <v>4.0099999999999997E-2</v>
      </c>
      <c r="T3135" s="30">
        <v>0.21029999999999999</v>
      </c>
      <c r="U3135" s="30">
        <v>0.23619999999999999</v>
      </c>
    </row>
    <row r="3136" spans="1:21" x14ac:dyDescent="0.25">
      <c r="A3136" t="s">
        <v>198</v>
      </c>
      <c r="B3136" t="s">
        <v>229</v>
      </c>
      <c r="C3136">
        <v>68</v>
      </c>
      <c r="D3136" t="s">
        <v>202</v>
      </c>
      <c r="E3136">
        <v>2630</v>
      </c>
      <c r="G3136" s="1">
        <v>0.04</v>
      </c>
      <c r="H3136" s="1">
        <v>1.24E-2</v>
      </c>
      <c r="I3136" s="1">
        <v>8.3900000000000002E-2</v>
      </c>
      <c r="K3136" s="1">
        <v>0.41199999999999998</v>
      </c>
      <c r="O3136" s="1">
        <v>3.3000000000000002E-2</v>
      </c>
      <c r="P3136" s="1">
        <v>0.1153</v>
      </c>
      <c r="Q3136" s="1">
        <v>0.01</v>
      </c>
      <c r="S3136" s="1">
        <v>0.02</v>
      </c>
      <c r="T3136" s="1">
        <v>0.38069999999999998</v>
      </c>
      <c r="U3136" s="1">
        <v>0.3891</v>
      </c>
    </row>
    <row r="3137" spans="1:21" x14ac:dyDescent="0.25">
      <c r="A3137" t="s">
        <v>203</v>
      </c>
      <c r="B3137" t="s">
        <v>229</v>
      </c>
      <c r="C3137">
        <v>370</v>
      </c>
      <c r="D3137" t="s">
        <v>199</v>
      </c>
      <c r="E3137">
        <v>2630</v>
      </c>
      <c r="F3137" s="1">
        <v>2.9499999999999998E-2</v>
      </c>
      <c r="G3137" s="1">
        <v>1.5699999999999999E-2</v>
      </c>
      <c r="H3137" s="1">
        <v>9.4999999999999998E-3</v>
      </c>
      <c r="I3137" s="1">
        <v>1.7000000000000001E-2</v>
      </c>
      <c r="K3137" s="1">
        <v>7.2099999999999997E-2</v>
      </c>
      <c r="L3137" s="1">
        <v>2.1999999999999999E-2</v>
      </c>
      <c r="N3137" s="1">
        <v>3.6499999999999998E-2</v>
      </c>
      <c r="O3137" s="1">
        <v>8.09E-2</v>
      </c>
      <c r="P3137" s="1">
        <v>3.49E-2</v>
      </c>
      <c r="Q3137" s="1">
        <v>1.66E-2</v>
      </c>
      <c r="R3137" s="1">
        <v>8.0999999999999996E-3</v>
      </c>
      <c r="S3137" s="1">
        <v>0.1792</v>
      </c>
      <c r="T3137" s="1">
        <v>0.86050000000000004</v>
      </c>
      <c r="U3137" s="1">
        <v>0.76570000000000005</v>
      </c>
    </row>
    <row r="3138" spans="1:21" x14ac:dyDescent="0.25">
      <c r="A3138" t="s">
        <v>203</v>
      </c>
      <c r="B3138" t="s">
        <v>228</v>
      </c>
      <c r="C3138">
        <v>150</v>
      </c>
      <c r="D3138" t="s">
        <v>199</v>
      </c>
      <c r="E3138">
        <v>2630</v>
      </c>
      <c r="G3138" s="1">
        <v>4.8999999999999998E-3</v>
      </c>
      <c r="I3138" s="1">
        <v>3.6299999999999999E-2</v>
      </c>
      <c r="K3138" s="1">
        <v>0.2079</v>
      </c>
      <c r="L3138" s="1">
        <v>5.7000000000000002E-3</v>
      </c>
      <c r="N3138" s="1">
        <v>3.2399999999999998E-2</v>
      </c>
      <c r="O3138" s="1">
        <v>0.2074</v>
      </c>
      <c r="P3138" s="1">
        <v>8.4599999999999995E-2</v>
      </c>
      <c r="Q3138" s="1">
        <v>1.37E-2</v>
      </c>
      <c r="S3138" s="1">
        <v>5.8999999999999999E-3</v>
      </c>
      <c r="T3138" s="1">
        <v>0.73770000000000002</v>
      </c>
      <c r="U3138" s="1">
        <v>0.66579999999999995</v>
      </c>
    </row>
    <row r="3139" spans="1:21" x14ac:dyDescent="0.25">
      <c r="A3139" t="s">
        <v>203</v>
      </c>
      <c r="B3139" t="s">
        <v>229</v>
      </c>
      <c r="C3139">
        <v>347</v>
      </c>
      <c r="D3139" t="s">
        <v>200</v>
      </c>
      <c r="E3139">
        <v>2630</v>
      </c>
      <c r="F3139" s="1">
        <v>3.0099999999999998E-2</v>
      </c>
      <c r="G3139" s="1">
        <v>1.78E-2</v>
      </c>
      <c r="H3139" s="1">
        <v>1.1299999999999999E-2</v>
      </c>
      <c r="I3139" s="1">
        <v>2.5399999999999999E-2</v>
      </c>
      <c r="J3139" s="1">
        <v>1.6999999999999999E-3</v>
      </c>
      <c r="K3139" s="1">
        <v>0.38629999999999998</v>
      </c>
      <c r="L3139" s="1">
        <v>4.0000000000000001E-3</v>
      </c>
      <c r="M3139" s="1">
        <v>1.6999999999999999E-3</v>
      </c>
      <c r="N3139" s="1">
        <v>4.1500000000000002E-2</v>
      </c>
      <c r="O3139" s="1">
        <v>1.09E-2</v>
      </c>
      <c r="P3139" s="1">
        <v>1.6799999999999999E-2</v>
      </c>
      <c r="Q3139" s="1">
        <v>1.0999999999999999E-2</v>
      </c>
      <c r="R3139" s="1">
        <v>1.5299999999999999E-2</v>
      </c>
      <c r="S3139" s="1">
        <v>5.3800000000000001E-2</v>
      </c>
      <c r="T3139" s="1">
        <v>0.44490000000000002</v>
      </c>
      <c r="U3139" s="1">
        <v>0.48099999999999998</v>
      </c>
    </row>
    <row r="3140" spans="1:21" x14ac:dyDescent="0.25">
      <c r="A3140" t="s">
        <v>203</v>
      </c>
      <c r="B3140" t="s">
        <v>228</v>
      </c>
      <c r="C3140">
        <v>155</v>
      </c>
      <c r="D3140" t="s">
        <v>200</v>
      </c>
      <c r="E3140">
        <v>2630</v>
      </c>
      <c r="I3140" s="1">
        <v>2.3E-2</v>
      </c>
      <c r="J3140" s="1">
        <v>1.0200000000000001E-2</v>
      </c>
      <c r="K3140" s="1">
        <v>0.4133</v>
      </c>
      <c r="N3140" s="1">
        <v>5.74E-2</v>
      </c>
      <c r="O3140" s="1">
        <v>3.78E-2</v>
      </c>
      <c r="P3140" s="1">
        <v>8.5000000000000006E-3</v>
      </c>
      <c r="Q3140" s="1">
        <v>2.5000000000000001E-3</v>
      </c>
      <c r="S3140" s="1">
        <v>5.0099999999999999E-2</v>
      </c>
      <c r="T3140" s="1">
        <v>0.50609999999999999</v>
      </c>
      <c r="U3140" s="1">
        <v>0.37169999999999997</v>
      </c>
    </row>
    <row r="3141" spans="1:21" x14ac:dyDescent="0.25">
      <c r="A3141" t="s">
        <v>203</v>
      </c>
      <c r="B3141" t="s">
        <v>229</v>
      </c>
      <c r="C3141">
        <v>137</v>
      </c>
      <c r="D3141" t="s">
        <v>201</v>
      </c>
      <c r="E3141">
        <v>2630</v>
      </c>
      <c r="F3141" s="1">
        <v>3.0200000000000001E-2</v>
      </c>
      <c r="G3141" s="1">
        <v>1.9E-3</v>
      </c>
      <c r="I3141" s="1">
        <v>4.9700000000000001E-2</v>
      </c>
      <c r="K3141" s="1">
        <v>0.20430000000000001</v>
      </c>
      <c r="N3141" s="1">
        <v>6.4999999999999997E-3</v>
      </c>
      <c r="O3141" s="1">
        <v>4.7600000000000003E-2</v>
      </c>
      <c r="P3141" s="1">
        <v>1.5E-3</v>
      </c>
      <c r="Q3141" s="1">
        <v>6.6199999999999995E-2</v>
      </c>
      <c r="R3141" s="1">
        <v>9.1999999999999998E-3</v>
      </c>
      <c r="S3141" s="1">
        <v>4.53E-2</v>
      </c>
      <c r="T3141" s="1">
        <v>0.70089999999999997</v>
      </c>
      <c r="U3141" s="1">
        <v>0.5897</v>
      </c>
    </row>
    <row r="3142" spans="1:21" x14ac:dyDescent="0.25">
      <c r="A3142" t="s">
        <v>203</v>
      </c>
      <c r="B3142" t="s">
        <v>228</v>
      </c>
      <c r="C3142">
        <v>177</v>
      </c>
      <c r="D3142" t="s">
        <v>201</v>
      </c>
      <c r="E3142">
        <v>2630</v>
      </c>
      <c r="F3142" s="1">
        <v>7.9000000000000008E-3</v>
      </c>
      <c r="G3142" s="1">
        <v>8.6999999999999994E-3</v>
      </c>
      <c r="I3142" s="1">
        <v>3.6499999999999998E-2</v>
      </c>
      <c r="K3142" s="1">
        <v>0.30349999999999999</v>
      </c>
      <c r="L3142" s="1">
        <v>8.0000000000000004E-4</v>
      </c>
      <c r="N3142" s="1">
        <v>9.3799999999999994E-2</v>
      </c>
      <c r="O3142" s="1">
        <v>1.2699999999999999E-2</v>
      </c>
      <c r="P3142" s="1">
        <v>1.6500000000000001E-2</v>
      </c>
      <c r="Q3142" s="1">
        <v>4.7999999999999996E-3</v>
      </c>
      <c r="R3142" s="1">
        <v>1.12E-2</v>
      </c>
      <c r="S3142" s="1">
        <v>2.1499999999999998E-2</v>
      </c>
      <c r="T3142" s="1">
        <v>0.58730000000000004</v>
      </c>
      <c r="U3142" s="1">
        <v>0.56030000000000002</v>
      </c>
    </row>
    <row r="3143" spans="1:21" x14ac:dyDescent="0.25">
      <c r="A3143" t="s">
        <v>203</v>
      </c>
      <c r="B3143" t="s">
        <v>228</v>
      </c>
      <c r="C3143">
        <v>34</v>
      </c>
      <c r="D3143" t="s">
        <v>202</v>
      </c>
      <c r="E3143">
        <v>2630</v>
      </c>
      <c r="G3143" s="1">
        <v>3.1E-2</v>
      </c>
      <c r="I3143" s="1">
        <v>3.6200000000000003E-2</v>
      </c>
      <c r="K3143" s="1">
        <v>0.70960000000000001</v>
      </c>
      <c r="Q3143" s="1">
        <v>3.6200000000000003E-2</v>
      </c>
      <c r="R3143" s="1">
        <v>3.4099999999999998E-2</v>
      </c>
      <c r="S3143" s="1">
        <v>4.9399999999999999E-2</v>
      </c>
      <c r="T3143" s="1">
        <v>0.18390000000000001</v>
      </c>
      <c r="U3143" s="1">
        <v>0.1086</v>
      </c>
    </row>
    <row r="3144" spans="1:21" x14ac:dyDescent="0.25">
      <c r="A3144" t="s">
        <v>203</v>
      </c>
      <c r="B3144" t="s">
        <v>229</v>
      </c>
      <c r="C3144">
        <v>56</v>
      </c>
      <c r="D3144" t="s">
        <v>202</v>
      </c>
      <c r="E3144">
        <v>2630</v>
      </c>
      <c r="G3144" s="1">
        <v>1.2200000000000001E-2</v>
      </c>
      <c r="H3144" s="1">
        <v>3.27E-2</v>
      </c>
      <c r="I3144" s="1">
        <v>2.7699999999999999E-2</v>
      </c>
      <c r="K3144" s="1">
        <v>0.59709999999999996</v>
      </c>
      <c r="M3144" s="1">
        <v>6.8999999999999999E-3</v>
      </c>
      <c r="O3144" s="1">
        <v>3.6700000000000003E-2</v>
      </c>
      <c r="P3144" s="1">
        <v>1.2200000000000001E-2</v>
      </c>
      <c r="Q3144" s="1">
        <v>8.3000000000000001E-3</v>
      </c>
      <c r="R3144" s="1">
        <v>7.7299999999999994E-2</v>
      </c>
      <c r="S3144" s="1">
        <v>0.13700000000000001</v>
      </c>
      <c r="T3144" s="1">
        <v>0.26419999999999999</v>
      </c>
      <c r="U3144" s="1">
        <v>0.16850000000000001</v>
      </c>
    </row>
    <row r="3145" spans="1:21" x14ac:dyDescent="0.25">
      <c r="A3145" t="s">
        <v>204</v>
      </c>
      <c r="B3145" t="s">
        <v>204</v>
      </c>
      <c r="C3145">
        <v>2630</v>
      </c>
      <c r="D3145" t="s">
        <v>204</v>
      </c>
      <c r="E3145">
        <v>2630</v>
      </c>
      <c r="F3145" s="1">
        <v>1.38E-2</v>
      </c>
      <c r="G3145" s="1">
        <v>1.7299999999999999E-2</v>
      </c>
      <c r="H3145" s="1">
        <v>8.0000000000000002E-3</v>
      </c>
      <c r="I3145" s="1">
        <v>5.9499999999999997E-2</v>
      </c>
      <c r="J3145" s="1">
        <v>1.6000000000000001E-3</v>
      </c>
      <c r="K3145" s="1">
        <v>0.32929999999999998</v>
      </c>
      <c r="L3145" s="1">
        <v>7.4000000000000003E-3</v>
      </c>
      <c r="M3145" s="1">
        <v>3.7000000000000002E-3</v>
      </c>
      <c r="N3145" s="1">
        <v>2.2599999999999999E-2</v>
      </c>
      <c r="O3145" s="1">
        <v>3.3799999999999997E-2</v>
      </c>
      <c r="P3145" s="1">
        <v>2.52E-2</v>
      </c>
      <c r="Q3145" s="1">
        <v>1.7500000000000002E-2</v>
      </c>
      <c r="R3145" s="1">
        <v>1.0699999999999999E-2</v>
      </c>
      <c r="S3145" s="1">
        <v>5.6500000000000002E-2</v>
      </c>
      <c r="T3145" s="1">
        <v>0.52180000000000004</v>
      </c>
      <c r="U3145" s="1">
        <v>0.4859</v>
      </c>
    </row>
    <row r="3147" spans="1:21" x14ac:dyDescent="0.25">
      <c r="A3147" t="s">
        <v>835</v>
      </c>
    </row>
    <row r="3148" spans="1:21" x14ac:dyDescent="0.25">
      <c r="A3148" t="s">
        <v>190</v>
      </c>
      <c r="B3148" t="s">
        <v>206</v>
      </c>
      <c r="C3148" t="s">
        <v>195</v>
      </c>
      <c r="D3148" t="s">
        <v>189</v>
      </c>
      <c r="E3148" t="s">
        <v>196</v>
      </c>
      <c r="F3148" t="s">
        <v>787</v>
      </c>
      <c r="G3148" t="s">
        <v>832</v>
      </c>
      <c r="H3148" t="s">
        <v>789</v>
      </c>
      <c r="I3148" t="s">
        <v>220</v>
      </c>
      <c r="J3148" t="s">
        <v>791</v>
      </c>
      <c r="K3148" t="s">
        <v>271</v>
      </c>
      <c r="L3148" t="s">
        <v>235</v>
      </c>
      <c r="M3148" t="s">
        <v>215</v>
      </c>
      <c r="N3148" t="s">
        <v>793</v>
      </c>
      <c r="O3148" t="s">
        <v>794</v>
      </c>
      <c r="P3148" t="s">
        <v>795</v>
      </c>
      <c r="Q3148" t="s">
        <v>796</v>
      </c>
      <c r="R3148" t="s">
        <v>797</v>
      </c>
      <c r="S3148" t="s">
        <v>798</v>
      </c>
      <c r="T3148" t="s">
        <v>800</v>
      </c>
      <c r="U3148" t="s">
        <v>801</v>
      </c>
    </row>
    <row r="3149" spans="1:21" x14ac:dyDescent="0.25">
      <c r="A3149" t="s">
        <v>198</v>
      </c>
      <c r="B3149" t="s">
        <v>348</v>
      </c>
      <c r="C3149">
        <v>78</v>
      </c>
      <c r="D3149" t="s">
        <v>197</v>
      </c>
      <c r="E3149">
        <v>2630</v>
      </c>
      <c r="G3149" s="1">
        <v>1.9400000000000001E-2</v>
      </c>
      <c r="I3149" s="1">
        <v>0.107</v>
      </c>
      <c r="K3149" s="1">
        <v>0.49909999999999999</v>
      </c>
      <c r="O3149" s="1">
        <v>2.5999999999999999E-2</v>
      </c>
      <c r="P3149" s="1">
        <v>1.5699999999999999E-2</v>
      </c>
      <c r="Q3149" s="1">
        <v>7.9000000000000008E-3</v>
      </c>
      <c r="R3149" s="1">
        <v>1.1599999999999999E-2</v>
      </c>
      <c r="S3149" s="1">
        <v>1.1599999999999999E-2</v>
      </c>
      <c r="T3149" s="1">
        <v>0.35730000000000001</v>
      </c>
      <c r="U3149" s="1">
        <v>0.36380000000000001</v>
      </c>
    </row>
    <row r="3150" spans="1:21" s="29" customFormat="1" x14ac:dyDescent="0.25">
      <c r="A3150" s="29" t="s">
        <v>198</v>
      </c>
      <c r="B3150" s="29" t="s">
        <v>349</v>
      </c>
      <c r="C3150" s="29">
        <v>3</v>
      </c>
      <c r="D3150" s="29" t="s">
        <v>197</v>
      </c>
      <c r="E3150" s="29">
        <v>2630</v>
      </c>
      <c r="K3150" s="30">
        <v>0.66669999999999996</v>
      </c>
      <c r="T3150" s="30">
        <v>0.33329999999999999</v>
      </c>
      <c r="U3150" s="30">
        <v>0.33329999999999999</v>
      </c>
    </row>
    <row r="3151" spans="1:21" x14ac:dyDescent="0.25">
      <c r="A3151" t="s">
        <v>198</v>
      </c>
      <c r="B3151" t="s">
        <v>348</v>
      </c>
      <c r="C3151">
        <v>54</v>
      </c>
      <c r="D3151" t="s">
        <v>199</v>
      </c>
      <c r="E3151">
        <v>2630</v>
      </c>
      <c r="G3151" s="1">
        <v>0.21410000000000001</v>
      </c>
      <c r="H3151" s="1">
        <v>1.09E-2</v>
      </c>
      <c r="I3151" s="1">
        <v>3.8E-3</v>
      </c>
      <c r="K3151" s="1">
        <v>0.16039999999999999</v>
      </c>
      <c r="L3151" s="1">
        <v>5.8999999999999999E-3</v>
      </c>
      <c r="O3151" s="1">
        <v>9.7999999999999997E-3</v>
      </c>
      <c r="Q3151" s="1">
        <v>7.1400000000000005E-2</v>
      </c>
      <c r="S3151" s="1">
        <v>7.1400000000000005E-2</v>
      </c>
      <c r="T3151" s="1">
        <v>0.67949999999999999</v>
      </c>
      <c r="U3151" s="1">
        <v>0.47539999999999999</v>
      </c>
    </row>
    <row r="3152" spans="1:21" x14ac:dyDescent="0.25">
      <c r="A3152" t="s">
        <v>198</v>
      </c>
      <c r="B3152" t="s">
        <v>349</v>
      </c>
      <c r="C3152">
        <v>111</v>
      </c>
      <c r="D3152" t="s">
        <v>199</v>
      </c>
      <c r="E3152">
        <v>2630</v>
      </c>
      <c r="I3152" s="1">
        <v>0.11459999999999999</v>
      </c>
      <c r="K3152" s="1">
        <v>0.18809999999999999</v>
      </c>
      <c r="N3152" s="1">
        <v>5.7999999999999996E-3</v>
      </c>
      <c r="O3152" s="1">
        <v>4.24E-2</v>
      </c>
      <c r="P3152" s="1">
        <v>3.8999999999999998E-3</v>
      </c>
      <c r="Q3152" s="1">
        <v>5.28E-2</v>
      </c>
      <c r="R3152" s="1">
        <v>2E-3</v>
      </c>
      <c r="S3152" s="1">
        <v>5.3199999999999997E-2</v>
      </c>
      <c r="T3152" s="1">
        <v>0.65200000000000002</v>
      </c>
      <c r="U3152" s="1">
        <v>0.49969999999999998</v>
      </c>
    </row>
    <row r="3153" spans="1:21" x14ac:dyDescent="0.25">
      <c r="A3153" t="s">
        <v>198</v>
      </c>
      <c r="B3153" t="s">
        <v>350</v>
      </c>
      <c r="C3153">
        <v>193</v>
      </c>
      <c r="D3153" t="s">
        <v>199</v>
      </c>
      <c r="E3153">
        <v>2630</v>
      </c>
      <c r="G3153" s="1">
        <v>4.8999999999999998E-3</v>
      </c>
      <c r="H3153" s="1">
        <v>4.8999999999999998E-3</v>
      </c>
      <c r="I3153" s="1">
        <v>0.1119</v>
      </c>
      <c r="K3153" s="1">
        <v>6.5299999999999997E-2</v>
      </c>
      <c r="L3153" s="1">
        <v>1.1000000000000001E-3</v>
      </c>
      <c r="N3153" s="1">
        <v>4.7000000000000002E-3</v>
      </c>
      <c r="O3153" s="1">
        <v>3.9699999999999999E-2</v>
      </c>
      <c r="P3153" s="1">
        <v>1.2999999999999999E-2</v>
      </c>
      <c r="Q3153" s="1">
        <v>1.06E-2</v>
      </c>
      <c r="R3153" s="1">
        <v>9.9000000000000008E-3</v>
      </c>
      <c r="S3153" s="1">
        <v>1.7399999999999999E-2</v>
      </c>
      <c r="T3153" s="1">
        <v>0.8004</v>
      </c>
      <c r="U3153" s="1">
        <v>0.77639999999999998</v>
      </c>
    </row>
    <row r="3154" spans="1:21" x14ac:dyDescent="0.25">
      <c r="A3154" t="s">
        <v>198</v>
      </c>
      <c r="B3154" t="s">
        <v>350</v>
      </c>
      <c r="C3154">
        <v>78</v>
      </c>
      <c r="D3154" t="s">
        <v>200</v>
      </c>
      <c r="E3154">
        <v>2630</v>
      </c>
      <c r="F3154" s="1">
        <v>1.35E-2</v>
      </c>
      <c r="G3154" s="1">
        <v>3.2099999999999997E-2</v>
      </c>
      <c r="H3154" s="1">
        <v>1.49E-2</v>
      </c>
      <c r="I3154" s="1">
        <v>0.14050000000000001</v>
      </c>
      <c r="K3154" s="1">
        <v>0.27979999999999999</v>
      </c>
      <c r="L3154" s="1">
        <v>1.4E-3</v>
      </c>
      <c r="N3154" s="1">
        <v>4.24E-2</v>
      </c>
      <c r="O3154" s="1">
        <v>4.1000000000000002E-2</v>
      </c>
      <c r="Q3154" s="1">
        <v>3.2099999999999997E-2</v>
      </c>
      <c r="S3154" s="1">
        <v>3.6200000000000003E-2</v>
      </c>
      <c r="T3154" s="1">
        <v>0.56840000000000002</v>
      </c>
      <c r="U3154" s="1">
        <v>0.53080000000000005</v>
      </c>
    </row>
    <row r="3155" spans="1:21" x14ac:dyDescent="0.25">
      <c r="A3155" t="s">
        <v>198</v>
      </c>
      <c r="B3155" t="s">
        <v>348</v>
      </c>
      <c r="C3155">
        <v>241</v>
      </c>
      <c r="D3155" t="s">
        <v>200</v>
      </c>
      <c r="E3155">
        <v>2630</v>
      </c>
      <c r="G3155" s="1">
        <v>7.3000000000000001E-3</v>
      </c>
      <c r="H3155" s="1">
        <v>1.06E-2</v>
      </c>
      <c r="I3155" s="1">
        <v>0.12189999999999999</v>
      </c>
      <c r="K3155" s="1">
        <v>0.40500000000000003</v>
      </c>
      <c r="M3155" s="1">
        <v>5.3E-3</v>
      </c>
      <c r="N3155" s="1">
        <v>1.0699999999999999E-2</v>
      </c>
      <c r="O3155" s="1">
        <v>1.2E-2</v>
      </c>
      <c r="P3155" s="1">
        <v>2.12E-2</v>
      </c>
      <c r="Q3155" s="1">
        <v>6.8999999999999999E-3</v>
      </c>
      <c r="R3155" s="1">
        <v>2E-3</v>
      </c>
      <c r="S3155" s="1">
        <v>2.12E-2</v>
      </c>
      <c r="T3155" s="1">
        <v>0.4224</v>
      </c>
      <c r="U3155" s="1">
        <v>0.40129999999999999</v>
      </c>
    </row>
    <row r="3156" spans="1:21" x14ac:dyDescent="0.25">
      <c r="A3156" t="s">
        <v>198</v>
      </c>
      <c r="B3156" t="s">
        <v>349</v>
      </c>
      <c r="C3156">
        <v>62</v>
      </c>
      <c r="D3156" t="s">
        <v>200</v>
      </c>
      <c r="E3156">
        <v>2630</v>
      </c>
      <c r="I3156" s="1">
        <v>3.0800000000000001E-2</v>
      </c>
      <c r="J3156" s="1">
        <v>7.3700000000000002E-2</v>
      </c>
      <c r="K3156" s="1">
        <v>0.41070000000000001</v>
      </c>
      <c r="N3156" s="1">
        <v>5.0099999999999999E-2</v>
      </c>
      <c r="O3156" s="1">
        <v>1.38E-2</v>
      </c>
      <c r="Q3156" s="1">
        <v>6.0900000000000003E-2</v>
      </c>
      <c r="T3156" s="1">
        <v>0.4017</v>
      </c>
      <c r="U3156" s="1">
        <v>0.33200000000000002</v>
      </c>
    </row>
    <row r="3157" spans="1:21" x14ac:dyDescent="0.25">
      <c r="A3157" t="s">
        <v>198</v>
      </c>
      <c r="B3157" t="s">
        <v>349</v>
      </c>
      <c r="C3157">
        <v>125</v>
      </c>
      <c r="D3157" t="s">
        <v>201</v>
      </c>
      <c r="E3157">
        <v>2630</v>
      </c>
      <c r="F3157" s="1">
        <v>2.7199999999999998E-2</v>
      </c>
      <c r="G3157" s="1">
        <v>1.3599999999999999E-2</v>
      </c>
      <c r="I3157" s="1">
        <v>8.2000000000000003E-2</v>
      </c>
      <c r="K3157" s="1">
        <v>0.26979999999999998</v>
      </c>
      <c r="L3157" s="1">
        <v>5.4399999999999997E-2</v>
      </c>
      <c r="N3157" s="1">
        <v>3.5999999999999999E-3</v>
      </c>
      <c r="O3157" s="1">
        <v>2.06E-2</v>
      </c>
      <c r="P3157" s="1">
        <v>1.3599999999999999E-2</v>
      </c>
      <c r="Q3157" s="1">
        <v>1.6E-2</v>
      </c>
      <c r="R3157" s="1">
        <v>1.3599999999999999E-2</v>
      </c>
      <c r="S3157" s="1">
        <v>2.7199999999999998E-2</v>
      </c>
      <c r="T3157" s="1">
        <v>0.54830000000000001</v>
      </c>
      <c r="U3157" s="1">
        <v>0.53669999999999995</v>
      </c>
    </row>
    <row r="3158" spans="1:21" x14ac:dyDescent="0.25">
      <c r="A3158" t="s">
        <v>198</v>
      </c>
      <c r="B3158" t="s">
        <v>350</v>
      </c>
      <c r="C3158">
        <v>63</v>
      </c>
      <c r="D3158" t="s">
        <v>201</v>
      </c>
      <c r="E3158">
        <v>2630</v>
      </c>
      <c r="G3158" s="1">
        <v>6.8999999999999999E-3</v>
      </c>
      <c r="H3158" s="1">
        <v>1.47E-2</v>
      </c>
      <c r="I3158" s="1">
        <v>0.1082</v>
      </c>
      <c r="J3158" s="1">
        <v>1.47E-2</v>
      </c>
      <c r="K3158" s="1">
        <v>0.21590000000000001</v>
      </c>
      <c r="M3158" s="1">
        <v>1.47E-2</v>
      </c>
      <c r="N3158" s="1">
        <v>2.7300000000000001E-2</v>
      </c>
      <c r="O3158" s="1">
        <v>2.7300000000000001E-2</v>
      </c>
      <c r="P3158" s="1">
        <v>1.47E-2</v>
      </c>
      <c r="R3158" s="1">
        <v>1.47E-2</v>
      </c>
      <c r="S3158" s="1">
        <v>0.1217</v>
      </c>
      <c r="T3158" s="1">
        <v>0.51790000000000003</v>
      </c>
      <c r="U3158" s="1">
        <v>0.53100000000000003</v>
      </c>
    </row>
    <row r="3159" spans="1:21" x14ac:dyDescent="0.25">
      <c r="A3159" t="s">
        <v>198</v>
      </c>
      <c r="B3159" t="s">
        <v>348</v>
      </c>
      <c r="C3159">
        <v>61</v>
      </c>
      <c r="D3159" t="s">
        <v>201</v>
      </c>
      <c r="E3159">
        <v>2630</v>
      </c>
      <c r="F3159" s="1">
        <v>4.4699999999999997E-2</v>
      </c>
      <c r="H3159" s="1">
        <v>1.9199999999999998E-2</v>
      </c>
      <c r="I3159" s="1">
        <v>0.156</v>
      </c>
      <c r="K3159" s="1">
        <v>0.49830000000000002</v>
      </c>
      <c r="O3159" s="1">
        <v>7.0400000000000004E-2</v>
      </c>
      <c r="P3159" s="1">
        <v>1.4800000000000001E-2</v>
      </c>
      <c r="Q3159" s="1">
        <v>4.7999999999999996E-3</v>
      </c>
      <c r="R3159" s="1">
        <v>1.4800000000000001E-2</v>
      </c>
      <c r="S3159" s="1">
        <v>1.4800000000000001E-2</v>
      </c>
      <c r="T3159" s="1">
        <v>0.2389</v>
      </c>
      <c r="U3159" s="1">
        <v>0.23039999999999999</v>
      </c>
    </row>
    <row r="3160" spans="1:21" x14ac:dyDescent="0.25">
      <c r="A3160" t="s">
        <v>198</v>
      </c>
      <c r="B3160" t="s">
        <v>348</v>
      </c>
      <c r="C3160">
        <v>96</v>
      </c>
      <c r="D3160" t="s">
        <v>202</v>
      </c>
      <c r="E3160">
        <v>2630</v>
      </c>
      <c r="G3160" s="1">
        <v>3.3099999999999997E-2</v>
      </c>
      <c r="H3160" s="1">
        <v>9.4999999999999998E-3</v>
      </c>
      <c r="I3160" s="1">
        <v>6.9199999999999998E-2</v>
      </c>
      <c r="K3160" s="1">
        <v>0.41880000000000001</v>
      </c>
      <c r="L3160" s="1">
        <v>1.6199999999999999E-2</v>
      </c>
      <c r="M3160" s="1">
        <v>2.52E-2</v>
      </c>
      <c r="O3160" s="1">
        <v>3.73E-2</v>
      </c>
      <c r="P3160" s="1">
        <v>0.1033</v>
      </c>
      <c r="Q3160" s="1">
        <v>1.7100000000000001E-2</v>
      </c>
      <c r="S3160" s="1">
        <v>1.5299999999999999E-2</v>
      </c>
      <c r="T3160" s="1">
        <v>0.34039999999999998</v>
      </c>
      <c r="U3160" s="1">
        <v>0.35289999999999999</v>
      </c>
    </row>
    <row r="3161" spans="1:21" x14ac:dyDescent="0.25">
      <c r="A3161" t="s">
        <v>203</v>
      </c>
      <c r="B3161" t="s">
        <v>349</v>
      </c>
      <c r="C3161">
        <v>171</v>
      </c>
      <c r="D3161" t="s">
        <v>199</v>
      </c>
      <c r="E3161">
        <v>2630</v>
      </c>
      <c r="F3161" s="1">
        <v>2.8E-3</v>
      </c>
      <c r="G3161" s="1">
        <v>1.1299999999999999E-2</v>
      </c>
      <c r="I3161" s="1">
        <v>1.9300000000000001E-2</v>
      </c>
      <c r="K3161" s="1">
        <v>0.1313</v>
      </c>
      <c r="L3161" s="1">
        <v>3.3E-3</v>
      </c>
      <c r="N3161" s="1">
        <v>2.41E-2</v>
      </c>
      <c r="O3161" s="1">
        <v>6.0600000000000001E-2</v>
      </c>
      <c r="P3161" s="1">
        <v>1.43E-2</v>
      </c>
      <c r="Q3161" s="1">
        <v>4.4000000000000003E-3</v>
      </c>
      <c r="R3161" s="1">
        <v>1.15E-2</v>
      </c>
      <c r="S3161" s="1">
        <v>0.3831</v>
      </c>
      <c r="T3161" s="1">
        <v>0.79469999999999996</v>
      </c>
      <c r="U3161" s="1">
        <v>0.49</v>
      </c>
    </row>
    <row r="3162" spans="1:21" x14ac:dyDescent="0.25">
      <c r="A3162" t="s">
        <v>203</v>
      </c>
      <c r="B3162" t="s">
        <v>348</v>
      </c>
      <c r="C3162">
        <v>42</v>
      </c>
      <c r="D3162" t="s">
        <v>199</v>
      </c>
      <c r="E3162">
        <v>2630</v>
      </c>
      <c r="G3162" s="1">
        <v>1.9900000000000001E-2</v>
      </c>
      <c r="I3162" s="1">
        <v>3.6799999999999999E-2</v>
      </c>
      <c r="K3162" s="1">
        <v>0.4007</v>
      </c>
      <c r="O3162" s="1">
        <v>2.9899999999999999E-2</v>
      </c>
      <c r="P3162" s="1">
        <v>0.01</v>
      </c>
      <c r="Q3162" s="1">
        <v>0.01</v>
      </c>
      <c r="R3162" s="1">
        <v>3.1800000000000002E-2</v>
      </c>
      <c r="S3162" s="1">
        <v>0.16089999999999999</v>
      </c>
      <c r="T3162" s="1">
        <v>0.52270000000000005</v>
      </c>
      <c r="U3162" s="1">
        <v>0.43530000000000002</v>
      </c>
    </row>
    <row r="3163" spans="1:21" x14ac:dyDescent="0.25">
      <c r="A3163" t="s">
        <v>203</v>
      </c>
      <c r="B3163" t="s">
        <v>350</v>
      </c>
      <c r="C3163">
        <v>307</v>
      </c>
      <c r="D3163" t="s">
        <v>199</v>
      </c>
      <c r="E3163">
        <v>2630</v>
      </c>
      <c r="F3163" s="1">
        <v>4.02E-2</v>
      </c>
      <c r="G3163" s="1">
        <v>1.5900000000000001E-2</v>
      </c>
      <c r="H3163" s="1">
        <v>1.34E-2</v>
      </c>
      <c r="I3163" s="1">
        <v>1.77E-2</v>
      </c>
      <c r="K3163" s="1">
        <v>4.2599999999999999E-2</v>
      </c>
      <c r="L3163" s="1">
        <v>3.0300000000000001E-2</v>
      </c>
      <c r="N3163" s="1">
        <v>4.4600000000000001E-2</v>
      </c>
      <c r="O3163" s="1">
        <v>0.1158</v>
      </c>
      <c r="P3163" s="1">
        <v>5.5399999999999998E-2</v>
      </c>
      <c r="Q3163" s="1">
        <v>2.2700000000000001E-2</v>
      </c>
      <c r="R3163" s="1">
        <v>3.5000000000000001E-3</v>
      </c>
      <c r="S3163" s="1">
        <v>4.7199999999999999E-2</v>
      </c>
      <c r="T3163" s="1">
        <v>0.8962</v>
      </c>
      <c r="U3163" s="1">
        <v>0.91220000000000001</v>
      </c>
    </row>
    <row r="3164" spans="1:21" x14ac:dyDescent="0.25">
      <c r="A3164" t="s">
        <v>203</v>
      </c>
      <c r="B3164" t="s">
        <v>348</v>
      </c>
      <c r="C3164">
        <v>300</v>
      </c>
      <c r="D3164" t="s">
        <v>200</v>
      </c>
      <c r="E3164">
        <v>2630</v>
      </c>
      <c r="F3164" s="1">
        <v>2.46E-2</v>
      </c>
      <c r="G3164" s="1">
        <v>1.47E-2</v>
      </c>
      <c r="H3164" s="1">
        <v>1.03E-2</v>
      </c>
      <c r="I3164" s="1">
        <v>1.7999999999999999E-2</v>
      </c>
      <c r="J3164" s="1">
        <v>2.2000000000000001E-3</v>
      </c>
      <c r="K3164" s="1">
        <v>0.41770000000000002</v>
      </c>
      <c r="L3164" s="1">
        <v>2.2000000000000001E-3</v>
      </c>
      <c r="N3164" s="1">
        <v>4.8300000000000003E-2</v>
      </c>
      <c r="O3164" s="1">
        <v>1.41E-2</v>
      </c>
      <c r="P3164" s="1">
        <v>1.12E-2</v>
      </c>
      <c r="Q3164" s="1">
        <v>6.1000000000000004E-3</v>
      </c>
      <c r="R3164" s="1">
        <v>1.2500000000000001E-2</v>
      </c>
      <c r="S3164" s="1">
        <v>5.8700000000000002E-2</v>
      </c>
      <c r="T3164" s="1">
        <v>0.44130000000000003</v>
      </c>
      <c r="U3164" s="1">
        <v>0.44090000000000001</v>
      </c>
    </row>
    <row r="3165" spans="1:21" x14ac:dyDescent="0.25">
      <c r="A3165" t="s">
        <v>203</v>
      </c>
      <c r="B3165" t="s">
        <v>349</v>
      </c>
      <c r="C3165">
        <v>108</v>
      </c>
      <c r="D3165" t="s">
        <v>200</v>
      </c>
      <c r="E3165">
        <v>2630</v>
      </c>
      <c r="F3165" s="1">
        <v>3.0599999999999999E-2</v>
      </c>
      <c r="G3165" s="1">
        <v>1.5299999999999999E-2</v>
      </c>
      <c r="I3165" s="1">
        <v>9.6600000000000005E-2</v>
      </c>
      <c r="J3165" s="1">
        <v>1.5299999999999999E-2</v>
      </c>
      <c r="K3165" s="1">
        <v>0.21790000000000001</v>
      </c>
      <c r="L3165" s="1">
        <v>6.4999999999999997E-3</v>
      </c>
      <c r="M3165" s="1">
        <v>1.67E-2</v>
      </c>
      <c r="N3165" s="1">
        <v>1.5299999999999999E-2</v>
      </c>
      <c r="O3165" s="1">
        <v>3.1300000000000001E-2</v>
      </c>
      <c r="P3165" s="1">
        <v>3.6999999999999998E-2</v>
      </c>
      <c r="Q3165" s="1">
        <v>4.8399999999999999E-2</v>
      </c>
      <c r="R3165" s="1">
        <v>1.5299999999999999E-2</v>
      </c>
      <c r="T3165" s="1">
        <v>0.48459999999999998</v>
      </c>
      <c r="U3165" s="1">
        <v>0.55869999999999997</v>
      </c>
    </row>
    <row r="3166" spans="1:21" x14ac:dyDescent="0.25">
      <c r="A3166" t="s">
        <v>203</v>
      </c>
      <c r="B3166" t="s">
        <v>350</v>
      </c>
      <c r="C3166">
        <v>94</v>
      </c>
      <c r="D3166" t="s">
        <v>200</v>
      </c>
      <c r="E3166">
        <v>2630</v>
      </c>
      <c r="G3166" s="1">
        <v>1.8E-3</v>
      </c>
      <c r="I3166" s="1">
        <v>3.78E-2</v>
      </c>
      <c r="J3166" s="1">
        <v>5.3E-3</v>
      </c>
      <c r="K3166" s="1">
        <v>0.1132</v>
      </c>
      <c r="L3166" s="1">
        <v>2.23E-2</v>
      </c>
      <c r="N3166" s="1">
        <v>1.55E-2</v>
      </c>
      <c r="O3166" s="1">
        <v>3.15E-2</v>
      </c>
      <c r="P3166" s="1">
        <v>6.8699999999999997E-2</v>
      </c>
      <c r="Q3166" s="1">
        <v>1.8E-3</v>
      </c>
      <c r="S3166" s="1">
        <v>3.09E-2</v>
      </c>
      <c r="T3166" s="1">
        <v>0.79910000000000003</v>
      </c>
      <c r="U3166" s="1">
        <v>0.72860000000000003</v>
      </c>
    </row>
    <row r="3167" spans="1:21" x14ac:dyDescent="0.25">
      <c r="A3167" t="s">
        <v>203</v>
      </c>
      <c r="B3167" t="s">
        <v>348</v>
      </c>
      <c r="C3167">
        <v>62</v>
      </c>
      <c r="D3167" t="s">
        <v>201</v>
      </c>
      <c r="E3167">
        <v>2630</v>
      </c>
      <c r="F3167" s="1">
        <v>1.9E-2</v>
      </c>
      <c r="I3167" s="1">
        <v>9.3200000000000005E-2</v>
      </c>
      <c r="K3167" s="1">
        <v>0.43090000000000001</v>
      </c>
      <c r="O3167" s="1">
        <v>1.26E-2</v>
      </c>
      <c r="P3167" s="1">
        <v>6.4999999999999997E-3</v>
      </c>
      <c r="Q3167" s="1">
        <v>1.6799999999999999E-2</v>
      </c>
      <c r="R3167" s="1">
        <v>2.4299999999999999E-2</v>
      </c>
      <c r="S3167" s="1">
        <v>4.2200000000000001E-2</v>
      </c>
      <c r="T3167" s="1">
        <v>0.40250000000000002</v>
      </c>
      <c r="U3167" s="1">
        <v>0.4</v>
      </c>
    </row>
    <row r="3168" spans="1:21" x14ac:dyDescent="0.25">
      <c r="A3168" t="s">
        <v>203</v>
      </c>
      <c r="B3168" t="s">
        <v>349</v>
      </c>
      <c r="C3168">
        <v>147</v>
      </c>
      <c r="D3168" t="s">
        <v>201</v>
      </c>
      <c r="E3168">
        <v>2630</v>
      </c>
      <c r="F3168" s="1">
        <v>2.7900000000000001E-2</v>
      </c>
      <c r="G3168" s="1">
        <v>4.1000000000000003E-3</v>
      </c>
      <c r="I3168" s="1">
        <v>3.4799999999999998E-2</v>
      </c>
      <c r="K3168" s="1">
        <v>0.20799999999999999</v>
      </c>
      <c r="N3168" s="1">
        <v>2.9700000000000001E-2</v>
      </c>
      <c r="O3168" s="1">
        <v>4.2599999999999999E-2</v>
      </c>
      <c r="P3168" s="1">
        <v>2.3E-3</v>
      </c>
      <c r="Q3168" s="1">
        <v>5.9299999999999999E-2</v>
      </c>
      <c r="R3168" s="1">
        <v>8.5000000000000006E-3</v>
      </c>
      <c r="S3168" s="1">
        <v>3.9100000000000003E-2</v>
      </c>
      <c r="T3168" s="1">
        <v>0.70809999999999995</v>
      </c>
      <c r="U3168" s="1">
        <v>0.60150000000000003</v>
      </c>
    </row>
    <row r="3169" spans="1:21" x14ac:dyDescent="0.25">
      <c r="A3169" t="s">
        <v>203</v>
      </c>
      <c r="B3169" t="s">
        <v>350</v>
      </c>
      <c r="C3169">
        <v>105</v>
      </c>
      <c r="D3169" t="s">
        <v>201</v>
      </c>
      <c r="E3169">
        <v>2630</v>
      </c>
      <c r="G3169" s="1">
        <v>2.8E-3</v>
      </c>
      <c r="I3169" s="1">
        <v>0.1084</v>
      </c>
      <c r="K3169" s="1">
        <v>0.1439</v>
      </c>
      <c r="L3169" s="1">
        <v>2.8E-3</v>
      </c>
      <c r="N3169" s="1">
        <v>4.2500000000000003E-2</v>
      </c>
      <c r="O3169" s="1">
        <v>4.2500000000000003E-2</v>
      </c>
      <c r="P3169" s="1">
        <v>3.5200000000000002E-2</v>
      </c>
      <c r="Q3169" s="1">
        <v>1.6199999999999999E-2</v>
      </c>
      <c r="S3169" s="1">
        <v>4.07E-2</v>
      </c>
      <c r="T3169" s="1">
        <v>0.69899999999999995</v>
      </c>
      <c r="U3169" s="1">
        <v>0.64829999999999999</v>
      </c>
    </row>
    <row r="3170" spans="1:21" x14ac:dyDescent="0.25">
      <c r="A3170" t="s">
        <v>203</v>
      </c>
      <c r="B3170" t="s">
        <v>348</v>
      </c>
      <c r="C3170">
        <v>90</v>
      </c>
      <c r="D3170" t="s">
        <v>202</v>
      </c>
      <c r="E3170">
        <v>2630</v>
      </c>
      <c r="G3170" s="1">
        <v>1.7500000000000002E-2</v>
      </c>
      <c r="H3170" s="1">
        <v>2.3400000000000001E-2</v>
      </c>
      <c r="I3170" s="1">
        <v>3.0099999999999998E-2</v>
      </c>
      <c r="K3170" s="1">
        <v>0.62890000000000001</v>
      </c>
      <c r="M3170" s="1">
        <v>4.8999999999999998E-3</v>
      </c>
      <c r="O3170" s="1">
        <v>2.63E-2</v>
      </c>
      <c r="P3170" s="1">
        <v>8.8000000000000005E-3</v>
      </c>
      <c r="Q3170" s="1">
        <v>1.6199999999999999E-2</v>
      </c>
      <c r="R3170" s="1">
        <v>6.5100000000000005E-2</v>
      </c>
      <c r="S3170" s="1">
        <v>0.1123</v>
      </c>
      <c r="T3170" s="1">
        <v>0.24149999999999999</v>
      </c>
      <c r="U3170" s="1">
        <v>0.15160000000000001</v>
      </c>
    </row>
    <row r="3171" spans="1:21" x14ac:dyDescent="0.25">
      <c r="A3171" t="s">
        <v>204</v>
      </c>
      <c r="B3171" t="s">
        <v>204</v>
      </c>
      <c r="C3171">
        <v>2630</v>
      </c>
      <c r="D3171" t="s">
        <v>204</v>
      </c>
      <c r="E3171">
        <v>2630</v>
      </c>
      <c r="F3171" s="1">
        <v>1.38E-2</v>
      </c>
      <c r="G3171" s="1">
        <v>1.7299999999999999E-2</v>
      </c>
      <c r="H3171" s="1">
        <v>8.0000000000000002E-3</v>
      </c>
      <c r="I3171" s="1">
        <v>5.9499999999999997E-2</v>
      </c>
      <c r="J3171" s="1">
        <v>1.6000000000000001E-3</v>
      </c>
      <c r="K3171" s="1">
        <v>0.32929999999999998</v>
      </c>
      <c r="L3171" s="1">
        <v>7.4000000000000003E-3</v>
      </c>
      <c r="M3171" s="1">
        <v>3.7000000000000002E-3</v>
      </c>
      <c r="N3171" s="1">
        <v>2.2599999999999999E-2</v>
      </c>
      <c r="O3171" s="1">
        <v>3.3799999999999997E-2</v>
      </c>
      <c r="P3171" s="1">
        <v>2.52E-2</v>
      </c>
      <c r="Q3171" s="1">
        <v>1.7500000000000002E-2</v>
      </c>
      <c r="R3171" s="1">
        <v>1.0699999999999999E-2</v>
      </c>
      <c r="S3171" s="1">
        <v>5.6500000000000002E-2</v>
      </c>
      <c r="T3171" s="1">
        <v>0.52180000000000004</v>
      </c>
      <c r="U3171" s="1">
        <v>0.4859</v>
      </c>
    </row>
    <row r="3173" spans="1:21" x14ac:dyDescent="0.25">
      <c r="A3173" t="s">
        <v>836</v>
      </c>
    </row>
    <row r="3174" spans="1:21" x14ac:dyDescent="0.25">
      <c r="A3174" t="s">
        <v>190</v>
      </c>
      <c r="B3174" t="s">
        <v>195</v>
      </c>
      <c r="C3174" t="s">
        <v>189</v>
      </c>
      <c r="D3174" t="s">
        <v>196</v>
      </c>
      <c r="E3174" t="s">
        <v>819</v>
      </c>
      <c r="F3174" t="s">
        <v>220</v>
      </c>
      <c r="G3174" t="s">
        <v>822</v>
      </c>
      <c r="H3174" t="s">
        <v>837</v>
      </c>
      <c r="I3174" t="s">
        <v>215</v>
      </c>
      <c r="J3174" t="s">
        <v>838</v>
      </c>
    </row>
    <row r="3175" spans="1:21" x14ac:dyDescent="0.25">
      <c r="A3175" t="s">
        <v>198</v>
      </c>
      <c r="B3175">
        <v>79</v>
      </c>
      <c r="C3175" t="s">
        <v>197</v>
      </c>
      <c r="D3175">
        <v>2527</v>
      </c>
      <c r="E3175" s="1">
        <v>1.14E-2</v>
      </c>
      <c r="F3175" s="1">
        <v>3.32E-2</v>
      </c>
      <c r="G3175" s="1">
        <v>0.79169999999999996</v>
      </c>
      <c r="H3175" s="1">
        <v>3.04E-2</v>
      </c>
      <c r="J3175" s="1">
        <v>0.1333</v>
      </c>
    </row>
    <row r="3176" spans="1:21" x14ac:dyDescent="0.25">
      <c r="A3176" t="s">
        <v>198</v>
      </c>
      <c r="B3176">
        <v>351</v>
      </c>
      <c r="C3176" t="s">
        <v>199</v>
      </c>
      <c r="D3176">
        <v>2527</v>
      </c>
      <c r="E3176" s="1">
        <v>8.6699999999999999E-2</v>
      </c>
      <c r="F3176" s="1">
        <v>7.6300000000000007E-2</v>
      </c>
      <c r="G3176" s="1">
        <v>0.29609999999999997</v>
      </c>
      <c r="H3176" s="1">
        <v>0.18190000000000001</v>
      </c>
      <c r="I3176" s="1">
        <v>1.6000000000000001E-3</v>
      </c>
      <c r="J3176" s="1">
        <v>0.3574</v>
      </c>
    </row>
    <row r="3177" spans="1:21" x14ac:dyDescent="0.25">
      <c r="A3177" t="s">
        <v>198</v>
      </c>
      <c r="B3177">
        <v>380</v>
      </c>
      <c r="C3177" t="s">
        <v>200</v>
      </c>
      <c r="D3177">
        <v>2527</v>
      </c>
      <c r="E3177" s="1">
        <v>3.4200000000000001E-2</v>
      </c>
      <c r="F3177" s="1">
        <v>8.8499999999999995E-2</v>
      </c>
      <c r="G3177" s="1">
        <v>0.53029999999999999</v>
      </c>
      <c r="H3177" s="1">
        <v>5.9299999999999999E-2</v>
      </c>
      <c r="J3177" s="1">
        <v>0.28760000000000002</v>
      </c>
    </row>
    <row r="3178" spans="1:21" x14ac:dyDescent="0.25">
      <c r="A3178" t="s">
        <v>198</v>
      </c>
      <c r="B3178">
        <v>246</v>
      </c>
      <c r="C3178" t="s">
        <v>201</v>
      </c>
      <c r="D3178">
        <v>2527</v>
      </c>
      <c r="E3178" s="1">
        <v>6.1600000000000002E-2</v>
      </c>
      <c r="F3178" s="1">
        <v>4.9799999999999997E-2</v>
      </c>
      <c r="G3178" s="1">
        <v>0.49180000000000001</v>
      </c>
      <c r="H3178" s="1">
        <v>8.7800000000000003E-2</v>
      </c>
      <c r="J3178" s="1">
        <v>0.30909999999999999</v>
      </c>
    </row>
    <row r="3179" spans="1:21" x14ac:dyDescent="0.25">
      <c r="A3179" t="s">
        <v>198</v>
      </c>
      <c r="B3179">
        <v>88</v>
      </c>
      <c r="C3179" t="s">
        <v>202</v>
      </c>
      <c r="D3179">
        <v>2527</v>
      </c>
      <c r="E3179" s="1">
        <v>2.7E-2</v>
      </c>
      <c r="F3179" s="1">
        <v>7.7700000000000005E-2</v>
      </c>
      <c r="G3179" s="1">
        <v>0.64339999999999997</v>
      </c>
      <c r="H3179" s="1">
        <v>2.8199999999999999E-2</v>
      </c>
      <c r="J3179" s="1">
        <v>0.2238</v>
      </c>
    </row>
    <row r="3180" spans="1:21" x14ac:dyDescent="0.25">
      <c r="A3180" t="s">
        <v>203</v>
      </c>
      <c r="B3180">
        <v>505</v>
      </c>
      <c r="C3180" t="s">
        <v>199</v>
      </c>
      <c r="D3180">
        <v>2527</v>
      </c>
      <c r="E3180" s="1">
        <v>0.16489999999999999</v>
      </c>
      <c r="F3180" s="1">
        <v>1.3599999999999999E-2</v>
      </c>
      <c r="G3180" s="1">
        <v>0.17510000000000001</v>
      </c>
      <c r="H3180" s="1">
        <v>0.2397</v>
      </c>
      <c r="I3180" s="1">
        <v>1.1999999999999999E-3</v>
      </c>
      <c r="J3180" s="1">
        <v>0.40539999999999998</v>
      </c>
    </row>
    <row r="3181" spans="1:21" x14ac:dyDescent="0.25">
      <c r="A3181" t="s">
        <v>203</v>
      </c>
      <c r="B3181">
        <v>486</v>
      </c>
      <c r="C3181" t="s">
        <v>200</v>
      </c>
      <c r="D3181">
        <v>2527</v>
      </c>
      <c r="E3181" s="1">
        <v>1.17E-2</v>
      </c>
      <c r="F3181" s="1">
        <v>8.5800000000000001E-2</v>
      </c>
      <c r="G3181" s="1">
        <v>0.61450000000000005</v>
      </c>
      <c r="H3181" s="1">
        <v>6.9800000000000001E-2</v>
      </c>
      <c r="I3181" s="1">
        <v>1.9E-3</v>
      </c>
      <c r="J3181" s="1">
        <v>0.21629999999999999</v>
      </c>
    </row>
    <row r="3182" spans="1:21" x14ac:dyDescent="0.25">
      <c r="A3182" t="s">
        <v>203</v>
      </c>
      <c r="B3182">
        <v>305</v>
      </c>
      <c r="C3182" t="s">
        <v>201</v>
      </c>
      <c r="D3182">
        <v>2527</v>
      </c>
      <c r="E3182" s="1">
        <v>3.9399999999999998E-2</v>
      </c>
      <c r="F3182" s="1">
        <v>2.3400000000000001E-2</v>
      </c>
      <c r="G3182" s="1">
        <v>0.57799999999999996</v>
      </c>
      <c r="H3182" s="1">
        <v>5.9799999999999999E-2</v>
      </c>
      <c r="I3182" s="1">
        <v>2.0000000000000001E-4</v>
      </c>
      <c r="J3182" s="1">
        <v>0.29920000000000002</v>
      </c>
    </row>
    <row r="3183" spans="1:21" x14ac:dyDescent="0.25">
      <c r="A3183" t="s">
        <v>203</v>
      </c>
      <c r="B3183">
        <v>87</v>
      </c>
      <c r="C3183" t="s">
        <v>202</v>
      </c>
      <c r="D3183">
        <v>2527</v>
      </c>
      <c r="E3183" s="1">
        <v>1.4500000000000001E-2</v>
      </c>
      <c r="F3183" s="1">
        <v>2.12E-2</v>
      </c>
      <c r="G3183" s="1">
        <v>0.67889999999999995</v>
      </c>
      <c r="H3183" s="1">
        <v>3.9800000000000002E-2</v>
      </c>
      <c r="J3183" s="1">
        <v>0.2457</v>
      </c>
    </row>
    <row r="3184" spans="1:21" x14ac:dyDescent="0.25">
      <c r="A3184" t="s">
        <v>204</v>
      </c>
      <c r="B3184">
        <v>2527</v>
      </c>
      <c r="C3184" t="s">
        <v>204</v>
      </c>
      <c r="D3184">
        <v>2527</v>
      </c>
      <c r="E3184" s="1">
        <v>4.9500000000000002E-2</v>
      </c>
      <c r="F3184" s="1">
        <v>6.2899999999999998E-2</v>
      </c>
      <c r="G3184" s="1">
        <v>0.51600000000000001</v>
      </c>
      <c r="H3184" s="1">
        <v>9.7199999999999995E-2</v>
      </c>
      <c r="I3184" s="1">
        <v>1E-3</v>
      </c>
      <c r="J3184" s="1">
        <v>0.27339999999999998</v>
      </c>
    </row>
    <row r="3186" spans="1:22" x14ac:dyDescent="0.25">
      <c r="A3186" t="s">
        <v>839</v>
      </c>
    </row>
    <row r="3187" spans="1:22" x14ac:dyDescent="0.25">
      <c r="A3187" t="s">
        <v>190</v>
      </c>
      <c r="B3187" t="s">
        <v>195</v>
      </c>
      <c r="C3187" t="s">
        <v>189</v>
      </c>
      <c r="D3187" t="s">
        <v>196</v>
      </c>
      <c r="E3187" t="s">
        <v>840</v>
      </c>
      <c r="F3187" t="s">
        <v>841</v>
      </c>
      <c r="G3187" t="s">
        <v>842</v>
      </c>
      <c r="H3187" t="s">
        <v>388</v>
      </c>
      <c r="I3187" t="s">
        <v>843</v>
      </c>
      <c r="J3187" t="s">
        <v>844</v>
      </c>
      <c r="K3187" t="s">
        <v>845</v>
      </c>
      <c r="L3187" t="s">
        <v>772</v>
      </c>
      <c r="M3187" t="s">
        <v>846</v>
      </c>
      <c r="N3187" t="s">
        <v>847</v>
      </c>
      <c r="O3187" t="s">
        <v>215</v>
      </c>
      <c r="P3187" t="s">
        <v>848</v>
      </c>
      <c r="Q3187" t="s">
        <v>849</v>
      </c>
      <c r="R3187" t="s">
        <v>850</v>
      </c>
    </row>
    <row r="3188" spans="1:22" x14ac:dyDescent="0.25">
      <c r="A3188" t="s">
        <v>198</v>
      </c>
      <c r="B3188">
        <v>44</v>
      </c>
      <c r="C3188" t="s">
        <v>197</v>
      </c>
      <c r="D3188">
        <v>1810</v>
      </c>
      <c r="E3188" s="1">
        <v>2.2599999999999999E-2</v>
      </c>
      <c r="H3188" s="1">
        <v>0.63819999999999999</v>
      </c>
      <c r="I3188" s="1">
        <v>0.1215</v>
      </c>
      <c r="J3188" s="1">
        <v>6.0499999999999998E-2</v>
      </c>
      <c r="K3188" s="1">
        <v>1.5299999999999999E-2</v>
      </c>
      <c r="M3188" s="1">
        <v>9.3299999999999994E-2</v>
      </c>
      <c r="N3188" s="1">
        <v>0.1951</v>
      </c>
      <c r="O3188" s="1">
        <v>2.81E-2</v>
      </c>
      <c r="P3188" s="1">
        <v>2.2599999999999999E-2</v>
      </c>
      <c r="Q3188" s="1">
        <v>2.2599999999999999E-2</v>
      </c>
      <c r="R3188" s="1">
        <v>1.5299999999999999E-2</v>
      </c>
    </row>
    <row r="3189" spans="1:22" x14ac:dyDescent="0.25">
      <c r="A3189" t="s">
        <v>198</v>
      </c>
      <c r="B3189">
        <v>277</v>
      </c>
      <c r="C3189" t="s">
        <v>199</v>
      </c>
      <c r="D3189">
        <v>1810</v>
      </c>
      <c r="E3189" s="1">
        <v>1.7100000000000001E-2</v>
      </c>
      <c r="F3189" s="1">
        <v>5.1999999999999998E-3</v>
      </c>
      <c r="G3189" s="1">
        <v>5.7999999999999996E-3</v>
      </c>
      <c r="H3189" s="1">
        <v>0.40939999999999999</v>
      </c>
      <c r="I3189" s="1">
        <v>5.04E-2</v>
      </c>
      <c r="J3189" s="1">
        <v>3.7699999999999997E-2</v>
      </c>
      <c r="K3189" s="1">
        <v>7.6899999999999996E-2</v>
      </c>
      <c r="L3189" s="1">
        <v>3.8E-3</v>
      </c>
      <c r="M3189" s="1">
        <v>0.15959999999999999</v>
      </c>
      <c r="N3189" s="1">
        <v>0.32319999999999999</v>
      </c>
      <c r="O3189" s="1">
        <v>1.2999999999999999E-3</v>
      </c>
      <c r="P3189" s="1">
        <v>0.1583</v>
      </c>
      <c r="Q3189" s="1">
        <v>0.1244</v>
      </c>
      <c r="R3189" s="1">
        <v>0.21479999999999999</v>
      </c>
    </row>
    <row r="3190" spans="1:22" x14ac:dyDescent="0.25">
      <c r="A3190" t="s">
        <v>198</v>
      </c>
      <c r="B3190">
        <v>223</v>
      </c>
      <c r="C3190" t="s">
        <v>200</v>
      </c>
      <c r="D3190">
        <v>1810</v>
      </c>
      <c r="E3190" s="1">
        <v>2.6800000000000001E-2</v>
      </c>
      <c r="F3190" s="1">
        <v>1.21E-2</v>
      </c>
      <c r="G3190" s="1">
        <v>4.1999999999999997E-3</v>
      </c>
      <c r="H3190" s="1">
        <v>0.4874</v>
      </c>
      <c r="I3190" s="1">
        <v>8.5000000000000006E-2</v>
      </c>
      <c r="J3190" s="1">
        <v>5.8700000000000002E-2</v>
      </c>
      <c r="K3190" s="1">
        <v>8.6699999999999999E-2</v>
      </c>
      <c r="L3190" s="1">
        <v>3.8999999999999998E-3</v>
      </c>
      <c r="M3190" s="1">
        <v>0.1653</v>
      </c>
      <c r="N3190" s="1">
        <v>0.24829999999999999</v>
      </c>
      <c r="O3190" s="1">
        <v>6.7999999999999996E-3</v>
      </c>
      <c r="P3190" s="1">
        <v>9.7299999999999998E-2</v>
      </c>
      <c r="Q3190" s="1">
        <v>6.6600000000000006E-2</v>
      </c>
      <c r="R3190" s="1">
        <v>7.2300000000000003E-2</v>
      </c>
    </row>
    <row r="3191" spans="1:22" x14ac:dyDescent="0.25">
      <c r="A3191" t="s">
        <v>198</v>
      </c>
      <c r="B3191">
        <v>176</v>
      </c>
      <c r="C3191" t="s">
        <v>201</v>
      </c>
      <c r="D3191">
        <v>1810</v>
      </c>
      <c r="E3191" s="1">
        <v>1.89E-2</v>
      </c>
      <c r="F3191" s="1">
        <v>7.3000000000000001E-3</v>
      </c>
      <c r="G3191" s="1">
        <v>6.3E-3</v>
      </c>
      <c r="H3191" s="1">
        <v>0.36099999999999999</v>
      </c>
      <c r="I3191" s="1">
        <v>0.20039999999999999</v>
      </c>
      <c r="J3191" s="1">
        <v>6.1199999999999997E-2</v>
      </c>
      <c r="K3191" s="1">
        <v>4.3900000000000002E-2</v>
      </c>
      <c r="L3191" s="1">
        <v>4.9399999999999999E-2</v>
      </c>
      <c r="M3191" s="1">
        <v>0.30530000000000002</v>
      </c>
      <c r="N3191" s="1">
        <v>0.1862</v>
      </c>
      <c r="O3191" s="1">
        <v>1.78E-2</v>
      </c>
      <c r="P3191" s="1">
        <v>0.21229999999999999</v>
      </c>
      <c r="Q3191" s="1">
        <v>0.12859999999999999</v>
      </c>
      <c r="R3191" s="1">
        <v>3.2300000000000002E-2</v>
      </c>
    </row>
    <row r="3192" spans="1:22" x14ac:dyDescent="0.25">
      <c r="A3192" t="s">
        <v>198</v>
      </c>
      <c r="B3192">
        <v>55</v>
      </c>
      <c r="C3192" t="s">
        <v>202</v>
      </c>
      <c r="D3192">
        <v>1810</v>
      </c>
      <c r="H3192" s="1">
        <v>0.33839999999999998</v>
      </c>
      <c r="I3192" s="1">
        <v>0.1206</v>
      </c>
      <c r="J3192" s="1">
        <v>3.3700000000000001E-2</v>
      </c>
      <c r="K3192" s="1">
        <v>4.5600000000000002E-2</v>
      </c>
      <c r="L3192" s="1">
        <v>2.76E-2</v>
      </c>
      <c r="M3192" s="1">
        <v>0.14979999999999999</v>
      </c>
      <c r="N3192" s="1">
        <v>0.41749999999999998</v>
      </c>
      <c r="O3192" s="1">
        <v>3.1600000000000003E-2</v>
      </c>
      <c r="P3192" s="1">
        <v>0.11600000000000001</v>
      </c>
      <c r="Q3192" s="1">
        <v>0.1331</v>
      </c>
      <c r="R3192" s="1">
        <v>4.1700000000000001E-2</v>
      </c>
    </row>
    <row r="3193" spans="1:22" x14ac:dyDescent="0.25">
      <c r="A3193" t="s">
        <v>203</v>
      </c>
      <c r="B3193">
        <v>439</v>
      </c>
      <c r="C3193" t="s">
        <v>199</v>
      </c>
      <c r="D3193">
        <v>1810</v>
      </c>
      <c r="E3193" s="1">
        <v>1.77E-2</v>
      </c>
      <c r="F3193" s="1">
        <v>7.6E-3</v>
      </c>
      <c r="G3193" s="1">
        <v>9.4000000000000004E-3</v>
      </c>
      <c r="H3193" s="1">
        <v>0.2031</v>
      </c>
      <c r="I3193" s="1">
        <v>0.1608</v>
      </c>
      <c r="J3193" s="1">
        <v>0.1188</v>
      </c>
      <c r="K3193" s="1">
        <v>0.10050000000000001</v>
      </c>
      <c r="L3193" s="1">
        <v>2.1700000000000001E-2</v>
      </c>
      <c r="M3193" s="1">
        <v>0.26479999999999998</v>
      </c>
      <c r="N3193" s="1">
        <v>0.33760000000000001</v>
      </c>
      <c r="O3193" s="1">
        <v>6.4999999999999997E-3</v>
      </c>
      <c r="P3193" s="1">
        <v>0.2094</v>
      </c>
      <c r="Q3193" s="1">
        <v>0.1479</v>
      </c>
      <c r="R3193" s="1">
        <v>0.36840000000000001</v>
      </c>
    </row>
    <row r="3194" spans="1:22" x14ac:dyDescent="0.25">
      <c r="A3194" t="s">
        <v>203</v>
      </c>
      <c r="B3194">
        <v>317</v>
      </c>
      <c r="C3194" t="s">
        <v>200</v>
      </c>
      <c r="D3194">
        <v>1810</v>
      </c>
      <c r="E3194" s="1">
        <v>3.5000000000000001E-3</v>
      </c>
      <c r="F3194" s="1">
        <v>1.1999999999999999E-3</v>
      </c>
      <c r="G3194" s="1">
        <v>2.3E-3</v>
      </c>
      <c r="H3194" s="1">
        <v>0.31190000000000001</v>
      </c>
      <c r="I3194" s="1">
        <v>7.3800000000000004E-2</v>
      </c>
      <c r="J3194" s="1">
        <v>0.1716</v>
      </c>
      <c r="K3194" s="1">
        <v>0.21729999999999999</v>
      </c>
      <c r="L3194" s="1">
        <v>1.61E-2</v>
      </c>
      <c r="M3194" s="1">
        <v>0.18609999999999999</v>
      </c>
      <c r="N3194" s="1">
        <v>0.43169999999999997</v>
      </c>
      <c r="O3194" s="1">
        <v>4.7000000000000002E-3</v>
      </c>
      <c r="P3194" s="1">
        <v>5.6300000000000003E-2</v>
      </c>
      <c r="Q3194" s="1">
        <v>8.8900000000000007E-2</v>
      </c>
      <c r="R3194" s="1">
        <v>0.1298</v>
      </c>
    </row>
    <row r="3195" spans="1:22" x14ac:dyDescent="0.25">
      <c r="A3195" t="s">
        <v>203</v>
      </c>
      <c r="B3195">
        <v>242</v>
      </c>
      <c r="C3195" t="s">
        <v>201</v>
      </c>
      <c r="D3195">
        <v>1810</v>
      </c>
      <c r="E3195" s="1">
        <v>1.6799999999999999E-2</v>
      </c>
      <c r="F3195" s="1">
        <v>6.1000000000000004E-3</v>
      </c>
      <c r="G3195" s="1">
        <v>7.6E-3</v>
      </c>
      <c r="H3195" s="1">
        <v>0.4037</v>
      </c>
      <c r="I3195" s="1">
        <v>0.12559999999999999</v>
      </c>
      <c r="J3195" s="1">
        <v>8.1799999999999998E-2</v>
      </c>
      <c r="K3195" s="1">
        <v>6.3799999999999996E-2</v>
      </c>
      <c r="L3195" s="1">
        <v>2.35E-2</v>
      </c>
      <c r="M3195" s="1">
        <v>0.1245</v>
      </c>
      <c r="N3195" s="1">
        <v>0.35149999999999998</v>
      </c>
      <c r="O3195" s="1">
        <v>5.4000000000000003E-3</v>
      </c>
      <c r="P3195" s="1">
        <v>6.3399999999999998E-2</v>
      </c>
      <c r="Q3195" s="1">
        <v>5.8099999999999999E-2</v>
      </c>
      <c r="R3195" s="1">
        <v>0.151</v>
      </c>
    </row>
    <row r="3196" spans="1:22" x14ac:dyDescent="0.25">
      <c r="A3196" t="s">
        <v>203</v>
      </c>
      <c r="B3196">
        <v>37</v>
      </c>
      <c r="C3196" t="s">
        <v>202</v>
      </c>
      <c r="D3196">
        <v>1810</v>
      </c>
      <c r="H3196" s="1">
        <v>0.2185</v>
      </c>
      <c r="I3196" s="1">
        <v>7.2599999999999998E-2</v>
      </c>
      <c r="J3196" s="1">
        <v>7.7399999999999997E-2</v>
      </c>
      <c r="K3196" s="1">
        <v>0.24640000000000001</v>
      </c>
      <c r="M3196" s="1">
        <v>0.1173</v>
      </c>
      <c r="N3196" s="1">
        <v>0.56210000000000004</v>
      </c>
      <c r="P3196" s="1">
        <v>3.3700000000000001E-2</v>
      </c>
      <c r="Q3196" s="1">
        <v>9.6100000000000005E-2</v>
      </c>
      <c r="R3196" s="1">
        <v>7.0900000000000005E-2</v>
      </c>
    </row>
    <row r="3197" spans="1:22" x14ac:dyDescent="0.25">
      <c r="A3197" t="s">
        <v>204</v>
      </c>
      <c r="B3197">
        <v>1810</v>
      </c>
      <c r="C3197" t="s">
        <v>204</v>
      </c>
      <c r="D3197">
        <v>1810</v>
      </c>
      <c r="E3197" s="1">
        <v>1.3299999999999999E-2</v>
      </c>
      <c r="F3197" s="1">
        <v>4.7000000000000002E-3</v>
      </c>
      <c r="G3197" s="1">
        <v>4.5999999999999999E-3</v>
      </c>
      <c r="H3197" s="1">
        <v>0.35189999999999999</v>
      </c>
      <c r="I3197" s="1">
        <v>0.10299999999999999</v>
      </c>
      <c r="J3197" s="1">
        <v>9.5399999999999999E-2</v>
      </c>
      <c r="K3197" s="1">
        <v>0.1152</v>
      </c>
      <c r="L3197" s="1">
        <v>1.54E-2</v>
      </c>
      <c r="M3197" s="1">
        <v>0.18640000000000001</v>
      </c>
      <c r="N3197" s="1">
        <v>0.34849999999999998</v>
      </c>
      <c r="O3197" s="1">
        <v>8.6999999999999994E-3</v>
      </c>
      <c r="P3197" s="1">
        <v>0.1177</v>
      </c>
      <c r="Q3197" s="1">
        <v>0.1041</v>
      </c>
      <c r="R3197" s="1">
        <v>0.16420000000000001</v>
      </c>
    </row>
    <row r="3199" spans="1:22" x14ac:dyDescent="0.25">
      <c r="A3199" t="s">
        <v>851</v>
      </c>
    </row>
    <row r="3200" spans="1:22" x14ac:dyDescent="0.25">
      <c r="A3200" t="s">
        <v>190</v>
      </c>
      <c r="B3200" t="s">
        <v>195</v>
      </c>
      <c r="C3200" t="s">
        <v>189</v>
      </c>
      <c r="D3200" t="s">
        <v>196</v>
      </c>
      <c r="E3200" t="s">
        <v>787</v>
      </c>
      <c r="F3200" t="s">
        <v>832</v>
      </c>
      <c r="G3200" t="s">
        <v>788</v>
      </c>
      <c r="H3200" t="s">
        <v>789</v>
      </c>
      <c r="I3200" t="s">
        <v>220</v>
      </c>
      <c r="J3200" t="s">
        <v>790</v>
      </c>
      <c r="K3200" t="s">
        <v>791</v>
      </c>
      <c r="L3200" t="s">
        <v>271</v>
      </c>
      <c r="M3200" t="s">
        <v>235</v>
      </c>
      <c r="N3200" t="s">
        <v>215</v>
      </c>
      <c r="O3200" t="s">
        <v>793</v>
      </c>
      <c r="P3200" t="s">
        <v>794</v>
      </c>
      <c r="Q3200" t="s">
        <v>795</v>
      </c>
      <c r="R3200" t="s">
        <v>796</v>
      </c>
      <c r="S3200" t="s">
        <v>797</v>
      </c>
      <c r="T3200" t="s">
        <v>798</v>
      </c>
      <c r="U3200" t="s">
        <v>800</v>
      </c>
      <c r="V3200" t="s">
        <v>801</v>
      </c>
    </row>
    <row r="3201" spans="1:23" x14ac:dyDescent="0.25">
      <c r="A3201" t="s">
        <v>198</v>
      </c>
      <c r="B3201">
        <v>82</v>
      </c>
      <c r="C3201" t="s">
        <v>197</v>
      </c>
      <c r="D3201">
        <v>2631</v>
      </c>
      <c r="E3201" s="1">
        <v>2.4799999999999999E-2</v>
      </c>
      <c r="F3201" s="1">
        <v>7.4999999999999997E-3</v>
      </c>
      <c r="G3201" s="1">
        <v>0.3553</v>
      </c>
      <c r="I3201" s="1">
        <v>0.1109</v>
      </c>
      <c r="L3201" s="1">
        <v>0.33</v>
      </c>
      <c r="P3201" s="1">
        <v>3.5000000000000003E-2</v>
      </c>
      <c r="Q3201" s="1">
        <v>7.4999999999999997E-3</v>
      </c>
      <c r="T3201" s="1">
        <v>7.4999999999999997E-3</v>
      </c>
      <c r="U3201" s="1">
        <v>0.3145</v>
      </c>
      <c r="V3201" s="1">
        <v>0.30969999999999998</v>
      </c>
    </row>
    <row r="3202" spans="1:23" x14ac:dyDescent="0.25">
      <c r="A3202" t="s">
        <v>198</v>
      </c>
      <c r="B3202">
        <v>368</v>
      </c>
      <c r="C3202" t="s">
        <v>199</v>
      </c>
      <c r="D3202">
        <v>2631</v>
      </c>
      <c r="E3202" s="1">
        <v>9.6500000000000002E-2</v>
      </c>
      <c r="G3202" s="1">
        <v>0.40350000000000003</v>
      </c>
      <c r="H3202" s="1">
        <v>3.7000000000000002E-3</v>
      </c>
      <c r="I3202" s="1">
        <v>4.6899999999999997E-2</v>
      </c>
      <c r="K3202" s="1">
        <v>4.0000000000000002E-4</v>
      </c>
      <c r="L3202" s="1">
        <v>0.151</v>
      </c>
      <c r="M3202" s="1">
        <v>4.0000000000000002E-4</v>
      </c>
      <c r="O3202" s="1">
        <v>1.2999999999999999E-3</v>
      </c>
      <c r="P3202" s="1">
        <v>8.8300000000000003E-2</v>
      </c>
      <c r="Q3202" s="1">
        <v>2.1999999999999999E-2</v>
      </c>
      <c r="R3202" s="1">
        <v>1.7399999999999999E-2</v>
      </c>
      <c r="T3202" s="1">
        <v>3.0999999999999999E-3</v>
      </c>
      <c r="U3202" s="1">
        <v>0.67689999999999995</v>
      </c>
      <c r="V3202" s="1">
        <v>0.61739999999999995</v>
      </c>
    </row>
    <row r="3203" spans="1:23" x14ac:dyDescent="0.25">
      <c r="A3203" t="s">
        <v>198</v>
      </c>
      <c r="B3203">
        <v>386</v>
      </c>
      <c r="C3203" t="s">
        <v>200</v>
      </c>
      <c r="D3203">
        <v>2631</v>
      </c>
      <c r="E3203" s="1">
        <v>3.32E-2</v>
      </c>
      <c r="F3203" s="1">
        <v>1.6999999999999999E-3</v>
      </c>
      <c r="G3203" s="1">
        <v>0.27150000000000002</v>
      </c>
      <c r="H3203" s="1">
        <v>1.0200000000000001E-2</v>
      </c>
      <c r="I3203" s="1">
        <v>0.1678</v>
      </c>
      <c r="L3203" s="1">
        <v>0.28749999999999998</v>
      </c>
      <c r="O3203" s="1">
        <v>5.8999999999999999E-3</v>
      </c>
      <c r="P3203" s="1">
        <v>3.4299999999999997E-2</v>
      </c>
      <c r="Q3203" s="1">
        <v>9.1999999999999998E-3</v>
      </c>
      <c r="R3203" s="1">
        <v>2.3E-3</v>
      </c>
      <c r="S3203" s="1">
        <v>4.5999999999999999E-3</v>
      </c>
      <c r="T3203" s="1">
        <v>4.5999999999999999E-3</v>
      </c>
      <c r="U3203" s="1">
        <v>0.33289999999999997</v>
      </c>
      <c r="V3203" s="1">
        <v>0.29780000000000001</v>
      </c>
    </row>
    <row r="3204" spans="1:23" x14ac:dyDescent="0.25">
      <c r="A3204" t="s">
        <v>198</v>
      </c>
      <c r="B3204">
        <v>256</v>
      </c>
      <c r="C3204" t="s">
        <v>201</v>
      </c>
      <c r="D3204">
        <v>2631</v>
      </c>
      <c r="E3204" s="1">
        <v>8.8999999999999996E-2</v>
      </c>
      <c r="F3204" s="1">
        <v>6.9999999999999999E-4</v>
      </c>
      <c r="G3204" s="1">
        <v>0.38109999999999999</v>
      </c>
      <c r="I3204" s="1">
        <v>0.10249999999999999</v>
      </c>
      <c r="L3204" s="1">
        <v>0.19470000000000001</v>
      </c>
      <c r="M3204" s="1">
        <v>9.2999999999999992E-3</v>
      </c>
      <c r="N3204" s="1">
        <v>6.9999999999999999E-4</v>
      </c>
      <c r="O3204" s="1">
        <v>2.2000000000000001E-3</v>
      </c>
      <c r="P3204" s="1">
        <v>1.3100000000000001E-2</v>
      </c>
      <c r="Q3204" s="1">
        <v>1.06E-2</v>
      </c>
      <c r="S3204" s="1">
        <v>4.4999999999999997E-3</v>
      </c>
      <c r="U3204" s="1">
        <v>0.40810000000000002</v>
      </c>
      <c r="V3204" s="1">
        <v>0.4042</v>
      </c>
    </row>
    <row r="3205" spans="1:23" x14ac:dyDescent="0.25">
      <c r="A3205" t="s">
        <v>198</v>
      </c>
      <c r="B3205">
        <v>96</v>
      </c>
      <c r="C3205" t="s">
        <v>202</v>
      </c>
      <c r="D3205">
        <v>2631</v>
      </c>
      <c r="E3205" s="1">
        <v>3.4299999999999997E-2</v>
      </c>
      <c r="G3205" s="1">
        <v>0.41499999999999998</v>
      </c>
      <c r="I3205" s="1">
        <v>8.1100000000000005E-2</v>
      </c>
      <c r="L3205" s="1">
        <v>0.34410000000000002</v>
      </c>
      <c r="Q3205" s="1">
        <v>8.0000000000000002E-3</v>
      </c>
      <c r="U3205" s="1">
        <v>0.22070000000000001</v>
      </c>
      <c r="V3205" s="1">
        <v>0.21629999999999999</v>
      </c>
    </row>
    <row r="3206" spans="1:23" x14ac:dyDescent="0.25">
      <c r="A3206" t="s">
        <v>203</v>
      </c>
      <c r="B3206">
        <v>529</v>
      </c>
      <c r="C3206" t="s">
        <v>199</v>
      </c>
      <c r="D3206">
        <v>2631</v>
      </c>
      <c r="E3206" s="1">
        <v>0.1196</v>
      </c>
      <c r="F3206" s="1">
        <v>1.21E-2</v>
      </c>
      <c r="G3206" s="1">
        <v>0.55830000000000002</v>
      </c>
      <c r="I3206" s="1">
        <v>6.2600000000000003E-2</v>
      </c>
      <c r="K3206" s="1">
        <v>1.8100000000000002E-2</v>
      </c>
      <c r="L3206" s="1">
        <v>7.0900000000000005E-2</v>
      </c>
      <c r="M3206" s="1">
        <v>8.9999999999999998E-4</v>
      </c>
      <c r="N3206" s="1">
        <v>1.4E-3</v>
      </c>
      <c r="O3206" s="1">
        <v>3.39E-2</v>
      </c>
      <c r="P3206" s="1">
        <v>0.19020000000000001</v>
      </c>
      <c r="Q3206" s="1">
        <v>4.19E-2</v>
      </c>
      <c r="R3206" s="1">
        <v>3.7000000000000002E-3</v>
      </c>
      <c r="S3206" s="1">
        <v>2.7000000000000001E-3</v>
      </c>
      <c r="T3206" s="1">
        <v>1.6999999999999999E-3</v>
      </c>
      <c r="U3206" s="1">
        <v>0.69920000000000004</v>
      </c>
      <c r="V3206" s="1">
        <v>0.57869999999999999</v>
      </c>
    </row>
    <row r="3207" spans="1:23" x14ac:dyDescent="0.25">
      <c r="A3207" t="s">
        <v>203</v>
      </c>
      <c r="B3207">
        <v>503</v>
      </c>
      <c r="C3207" t="s">
        <v>200</v>
      </c>
      <c r="D3207">
        <v>2631</v>
      </c>
      <c r="E3207" s="1">
        <v>9.4200000000000006E-2</v>
      </c>
      <c r="G3207" s="1">
        <v>0.54830000000000001</v>
      </c>
      <c r="I3207" s="1">
        <v>0.13170000000000001</v>
      </c>
      <c r="J3207" s="1">
        <v>9.1000000000000004E-3</v>
      </c>
      <c r="L3207" s="1">
        <v>0.15629999999999999</v>
      </c>
      <c r="M3207" s="1">
        <v>1E-4</v>
      </c>
      <c r="N3207" s="1">
        <v>1.1000000000000001E-3</v>
      </c>
      <c r="O3207" s="1">
        <v>2.2800000000000001E-2</v>
      </c>
      <c r="P3207" s="1">
        <v>9.0800000000000006E-2</v>
      </c>
      <c r="Q3207" s="1">
        <v>3.9100000000000003E-2</v>
      </c>
      <c r="R3207" s="1">
        <v>1.6000000000000001E-3</v>
      </c>
      <c r="T3207" s="1">
        <v>2.5000000000000001E-3</v>
      </c>
      <c r="U3207" s="1">
        <v>0.27200000000000002</v>
      </c>
      <c r="V3207" s="1">
        <v>0.31140000000000001</v>
      </c>
    </row>
    <row r="3208" spans="1:23" x14ac:dyDescent="0.25">
      <c r="A3208" t="s">
        <v>203</v>
      </c>
      <c r="B3208">
        <v>321</v>
      </c>
      <c r="C3208" t="s">
        <v>201</v>
      </c>
      <c r="D3208">
        <v>2631</v>
      </c>
      <c r="E3208" s="1">
        <v>0.26769999999999999</v>
      </c>
      <c r="F3208" s="1">
        <v>4.1000000000000003E-3</v>
      </c>
      <c r="G3208" s="1">
        <v>0.71950000000000003</v>
      </c>
      <c r="I3208" s="1">
        <v>6.5100000000000005E-2</v>
      </c>
      <c r="L3208" s="1">
        <v>7.7600000000000002E-2</v>
      </c>
      <c r="O3208" s="1">
        <v>2.5100000000000001E-2</v>
      </c>
      <c r="P3208" s="1">
        <v>6.7400000000000002E-2</v>
      </c>
      <c r="Q3208" s="1">
        <v>2.1600000000000001E-2</v>
      </c>
      <c r="R3208" s="1">
        <v>9.5999999999999992E-3</v>
      </c>
      <c r="S3208" s="1">
        <v>2.0000000000000001E-4</v>
      </c>
      <c r="T3208" s="1">
        <v>1.43E-2</v>
      </c>
      <c r="U3208" s="1">
        <v>0.4098</v>
      </c>
      <c r="V3208" s="1">
        <v>0.38030000000000003</v>
      </c>
    </row>
    <row r="3209" spans="1:23" x14ac:dyDescent="0.25">
      <c r="A3209" t="s">
        <v>203</v>
      </c>
      <c r="B3209">
        <v>90</v>
      </c>
      <c r="C3209" t="s">
        <v>202</v>
      </c>
      <c r="D3209">
        <v>2631</v>
      </c>
      <c r="E3209" s="1">
        <v>2.5000000000000001E-2</v>
      </c>
      <c r="F3209" s="1">
        <v>9.5999999999999992E-3</v>
      </c>
      <c r="G3209" s="1">
        <v>0.4365</v>
      </c>
      <c r="H3209" s="1">
        <v>4.8999999999999998E-3</v>
      </c>
      <c r="I3209" s="1">
        <v>9.4600000000000004E-2</v>
      </c>
      <c r="L3209" s="1">
        <v>0.3856</v>
      </c>
      <c r="N3209" s="1">
        <v>3.7000000000000002E-3</v>
      </c>
      <c r="P3209" s="1">
        <v>1.2500000000000001E-2</v>
      </c>
      <c r="Q3209" s="1">
        <v>1.47E-2</v>
      </c>
      <c r="S3209" s="1">
        <v>1.0200000000000001E-2</v>
      </c>
      <c r="T3209" s="1">
        <v>1.9E-2</v>
      </c>
      <c r="U3209" s="1">
        <v>0.13869999999999999</v>
      </c>
      <c r="V3209" s="1">
        <v>7.3200000000000001E-2</v>
      </c>
    </row>
    <row r="3210" spans="1:23" x14ac:dyDescent="0.25">
      <c r="A3210" t="s">
        <v>204</v>
      </c>
      <c r="B3210">
        <v>2631</v>
      </c>
      <c r="C3210" t="s">
        <v>204</v>
      </c>
      <c r="D3210">
        <v>2631</v>
      </c>
      <c r="E3210" s="1">
        <v>8.5599999999999996E-2</v>
      </c>
      <c r="F3210" s="1">
        <v>3.0000000000000001E-3</v>
      </c>
      <c r="G3210" s="1">
        <v>0.46739999999999998</v>
      </c>
      <c r="H3210" s="1">
        <v>2E-3</v>
      </c>
      <c r="I3210" s="1">
        <v>0.10349999999999999</v>
      </c>
      <c r="J3210" s="1">
        <v>2.8E-3</v>
      </c>
      <c r="K3210" s="1">
        <v>2.3999999999999998E-3</v>
      </c>
      <c r="L3210" s="1">
        <v>0.1991</v>
      </c>
      <c r="M3210" s="1">
        <v>5.9999999999999995E-4</v>
      </c>
      <c r="N3210" s="1">
        <v>6.9999999999999999E-4</v>
      </c>
      <c r="O3210" s="1">
        <v>1.38E-2</v>
      </c>
      <c r="P3210" s="1">
        <v>7.5399999999999995E-2</v>
      </c>
      <c r="Q3210" s="1">
        <v>2.5000000000000001E-2</v>
      </c>
      <c r="R3210" s="1">
        <v>3.8999999999999998E-3</v>
      </c>
      <c r="S3210" s="1">
        <v>1.6999999999999999E-3</v>
      </c>
      <c r="T3210" s="1">
        <v>4.1999999999999997E-3</v>
      </c>
      <c r="U3210" s="1">
        <v>0.39140000000000003</v>
      </c>
      <c r="V3210" s="1">
        <v>0.37009999999999998</v>
      </c>
    </row>
    <row r="3212" spans="1:23" x14ac:dyDescent="0.25">
      <c r="A3212" t="s">
        <v>852</v>
      </c>
    </row>
    <row r="3213" spans="1:23" x14ac:dyDescent="0.25">
      <c r="A3213" t="s">
        <v>190</v>
      </c>
      <c r="B3213" t="s">
        <v>206</v>
      </c>
      <c r="C3213" t="s">
        <v>195</v>
      </c>
      <c r="D3213" t="s">
        <v>189</v>
      </c>
      <c r="E3213" t="s">
        <v>196</v>
      </c>
      <c r="F3213" t="s">
        <v>787</v>
      </c>
      <c r="G3213" t="s">
        <v>832</v>
      </c>
      <c r="H3213" t="s">
        <v>788</v>
      </c>
      <c r="I3213" t="s">
        <v>789</v>
      </c>
      <c r="J3213" t="s">
        <v>220</v>
      </c>
      <c r="K3213" t="s">
        <v>790</v>
      </c>
      <c r="L3213" t="s">
        <v>791</v>
      </c>
      <c r="M3213" t="s">
        <v>271</v>
      </c>
      <c r="N3213" t="s">
        <v>235</v>
      </c>
      <c r="O3213" t="s">
        <v>215</v>
      </c>
      <c r="P3213" t="s">
        <v>793</v>
      </c>
      <c r="Q3213" t="s">
        <v>794</v>
      </c>
      <c r="R3213" t="s">
        <v>795</v>
      </c>
      <c r="S3213" t="s">
        <v>796</v>
      </c>
      <c r="T3213" t="s">
        <v>797</v>
      </c>
      <c r="U3213" t="s">
        <v>798</v>
      </c>
      <c r="V3213" t="s">
        <v>800</v>
      </c>
      <c r="W3213" t="s">
        <v>801</v>
      </c>
    </row>
    <row r="3214" spans="1:23" s="29" customFormat="1" x14ac:dyDescent="0.25">
      <c r="A3214" s="29" t="s">
        <v>198</v>
      </c>
      <c r="B3214" s="29" t="s">
        <v>209</v>
      </c>
      <c r="C3214" s="29">
        <v>20</v>
      </c>
      <c r="D3214" s="29" t="s">
        <v>197</v>
      </c>
      <c r="E3214" s="29">
        <v>2631</v>
      </c>
      <c r="F3214" s="30">
        <v>5.3199999999999997E-2</v>
      </c>
      <c r="H3214" s="30">
        <v>0.2586</v>
      </c>
      <c r="J3214" s="30">
        <v>2.9000000000000001E-2</v>
      </c>
      <c r="M3214" s="30">
        <v>0.53100000000000003</v>
      </c>
      <c r="Q3214" s="30">
        <v>5.3199999999999997E-2</v>
      </c>
      <c r="V3214" s="30">
        <v>0.18129999999999999</v>
      </c>
      <c r="W3214" s="30">
        <v>0.18129999999999999</v>
      </c>
    </row>
    <row r="3215" spans="1:23" x14ac:dyDescent="0.25">
      <c r="A3215" t="s">
        <v>198</v>
      </c>
      <c r="B3215" t="s">
        <v>210</v>
      </c>
      <c r="C3215">
        <v>62</v>
      </c>
      <c r="D3215" t="s">
        <v>197</v>
      </c>
      <c r="E3215">
        <v>2631</v>
      </c>
      <c r="F3215" s="1">
        <v>1.49E-2</v>
      </c>
      <c r="G3215" s="1">
        <v>1.01E-2</v>
      </c>
      <c r="H3215" s="1">
        <v>0.38900000000000001</v>
      </c>
      <c r="J3215" s="1">
        <v>0.13950000000000001</v>
      </c>
      <c r="M3215" s="1">
        <v>0.25990000000000002</v>
      </c>
      <c r="Q3215" s="1">
        <v>2.86E-2</v>
      </c>
      <c r="R3215" s="1">
        <v>1.01E-2</v>
      </c>
      <c r="U3215" s="1">
        <v>1.01E-2</v>
      </c>
      <c r="V3215" s="1">
        <v>0.3609</v>
      </c>
      <c r="W3215" s="1">
        <v>0.35449999999999998</v>
      </c>
    </row>
    <row r="3216" spans="1:23" x14ac:dyDescent="0.25">
      <c r="A3216" t="s">
        <v>198</v>
      </c>
      <c r="B3216" t="s">
        <v>209</v>
      </c>
      <c r="C3216">
        <v>76</v>
      </c>
      <c r="D3216" t="s">
        <v>199</v>
      </c>
      <c r="E3216">
        <v>2631</v>
      </c>
      <c r="F3216" s="1">
        <v>0.1663</v>
      </c>
      <c r="H3216" s="1">
        <v>0.4269</v>
      </c>
      <c r="J3216" s="1">
        <v>8.2000000000000007E-3</v>
      </c>
      <c r="M3216" s="1">
        <v>0.18129999999999999</v>
      </c>
      <c r="Q3216" s="1">
        <v>0.14990000000000001</v>
      </c>
      <c r="R3216" s="1">
        <v>1.8E-3</v>
      </c>
      <c r="V3216" s="1">
        <v>0.66610000000000003</v>
      </c>
      <c r="W3216" s="1">
        <v>0.63460000000000005</v>
      </c>
    </row>
    <row r="3217" spans="1:23" x14ac:dyDescent="0.25">
      <c r="A3217" t="s">
        <v>198</v>
      </c>
      <c r="B3217" t="s">
        <v>210</v>
      </c>
      <c r="C3217">
        <v>292</v>
      </c>
      <c r="D3217" t="s">
        <v>199</v>
      </c>
      <c r="E3217">
        <v>2631</v>
      </c>
      <c r="F3217" s="1">
        <v>7.4300000000000005E-2</v>
      </c>
      <c r="H3217" s="1">
        <v>0.39610000000000001</v>
      </c>
      <c r="I3217" s="1">
        <v>4.8999999999999998E-3</v>
      </c>
      <c r="J3217" s="1">
        <v>5.9200000000000003E-2</v>
      </c>
      <c r="L3217" s="1">
        <v>5.9999999999999995E-4</v>
      </c>
      <c r="M3217" s="1">
        <v>0.1414</v>
      </c>
      <c r="N3217" s="1">
        <v>5.9999999999999995E-4</v>
      </c>
      <c r="P3217" s="1">
        <v>1.6999999999999999E-3</v>
      </c>
      <c r="Q3217" s="1">
        <v>6.8599999999999994E-2</v>
      </c>
      <c r="R3217" s="1">
        <v>2.8400000000000002E-2</v>
      </c>
      <c r="S3217" s="1">
        <v>2.29E-2</v>
      </c>
      <c r="U3217" s="1">
        <v>4.1000000000000003E-3</v>
      </c>
      <c r="V3217" s="1">
        <v>0.6804</v>
      </c>
      <c r="W3217" s="1">
        <v>0.6119</v>
      </c>
    </row>
    <row r="3218" spans="1:23" x14ac:dyDescent="0.25">
      <c r="A3218" t="s">
        <v>198</v>
      </c>
      <c r="B3218" t="s">
        <v>210</v>
      </c>
      <c r="C3218">
        <v>311</v>
      </c>
      <c r="D3218" t="s">
        <v>200</v>
      </c>
      <c r="E3218">
        <v>2631</v>
      </c>
      <c r="F3218" s="1">
        <v>1.66E-2</v>
      </c>
      <c r="H3218" s="1">
        <v>0.24310000000000001</v>
      </c>
      <c r="I3218" s="1">
        <v>1.1999999999999999E-3</v>
      </c>
      <c r="J3218" s="1">
        <v>0.20169999999999999</v>
      </c>
      <c r="M3218" s="1">
        <v>0.28060000000000002</v>
      </c>
      <c r="P3218" s="1">
        <v>7.4999999999999997E-3</v>
      </c>
      <c r="Q3218" s="1">
        <v>2.9899999999999999E-2</v>
      </c>
      <c r="R3218" s="1">
        <v>5.7999999999999996E-3</v>
      </c>
      <c r="S3218" s="1">
        <v>2.8999999999999998E-3</v>
      </c>
      <c r="T3218" s="1">
        <v>5.8999999999999999E-3</v>
      </c>
      <c r="U3218" s="1">
        <v>5.8999999999999999E-3</v>
      </c>
      <c r="V3218" s="1">
        <v>0.32219999999999999</v>
      </c>
      <c r="W3218" s="1">
        <v>0.29149999999999998</v>
      </c>
    </row>
    <row r="3219" spans="1:23" x14ac:dyDescent="0.25">
      <c r="A3219" t="s">
        <v>198</v>
      </c>
      <c r="B3219" t="s">
        <v>209</v>
      </c>
      <c r="C3219">
        <v>75</v>
      </c>
      <c r="D3219" t="s">
        <v>200</v>
      </c>
      <c r="E3219">
        <v>2631</v>
      </c>
      <c r="F3219" s="1">
        <v>9.5299999999999996E-2</v>
      </c>
      <c r="G3219" s="1">
        <v>8.2000000000000007E-3</v>
      </c>
      <c r="H3219" s="1">
        <v>0.37740000000000001</v>
      </c>
      <c r="I3219" s="1">
        <v>4.36E-2</v>
      </c>
      <c r="J3219" s="1">
        <v>4.1200000000000001E-2</v>
      </c>
      <c r="M3219" s="1">
        <v>0.31340000000000001</v>
      </c>
      <c r="Q3219" s="1">
        <v>5.11E-2</v>
      </c>
      <c r="R3219" s="1">
        <v>2.18E-2</v>
      </c>
      <c r="V3219" s="1">
        <v>0.37259999999999999</v>
      </c>
      <c r="W3219" s="1">
        <v>0.32129999999999997</v>
      </c>
    </row>
    <row r="3220" spans="1:23" x14ac:dyDescent="0.25">
      <c r="A3220" t="s">
        <v>198</v>
      </c>
      <c r="B3220" t="s">
        <v>209</v>
      </c>
      <c r="C3220">
        <v>52</v>
      </c>
      <c r="D3220" t="s">
        <v>201</v>
      </c>
      <c r="E3220">
        <v>2631</v>
      </c>
      <c r="F3220" s="1">
        <v>0.19220000000000001</v>
      </c>
      <c r="G3220" s="1">
        <v>3.5000000000000001E-3</v>
      </c>
      <c r="H3220" s="1">
        <v>0.55189999999999995</v>
      </c>
      <c r="J3220" s="1">
        <v>2.8400000000000002E-2</v>
      </c>
      <c r="M3220" s="1">
        <v>0.1239</v>
      </c>
      <c r="O3220" s="1">
        <v>3.5000000000000001E-3</v>
      </c>
      <c r="Q3220" s="1">
        <v>1.29E-2</v>
      </c>
      <c r="R3220" s="1">
        <v>4.8599999999999997E-2</v>
      </c>
      <c r="V3220" s="1">
        <v>0.4078</v>
      </c>
      <c r="W3220" s="1">
        <v>0.41099999999999998</v>
      </c>
    </row>
    <row r="3221" spans="1:23" x14ac:dyDescent="0.25">
      <c r="A3221" t="s">
        <v>198</v>
      </c>
      <c r="B3221" t="s">
        <v>210</v>
      </c>
      <c r="C3221">
        <v>204</v>
      </c>
      <c r="D3221" t="s">
        <v>201</v>
      </c>
      <c r="E3221">
        <v>2631</v>
      </c>
      <c r="F3221" s="1">
        <v>6.4500000000000002E-2</v>
      </c>
      <c r="H3221" s="1">
        <v>0.34060000000000001</v>
      </c>
      <c r="J3221" s="1">
        <v>0.1202</v>
      </c>
      <c r="M3221" s="1">
        <v>0.21149999999999999</v>
      </c>
      <c r="N3221" s="1">
        <v>1.1599999999999999E-2</v>
      </c>
      <c r="P3221" s="1">
        <v>2.7000000000000001E-3</v>
      </c>
      <c r="Q3221" s="1">
        <v>1.3100000000000001E-2</v>
      </c>
      <c r="R3221" s="1">
        <v>1.5E-3</v>
      </c>
      <c r="T3221" s="1">
        <v>5.4999999999999997E-3</v>
      </c>
      <c r="V3221" s="1">
        <v>0.40810000000000002</v>
      </c>
      <c r="W3221" s="1">
        <v>0.40260000000000001</v>
      </c>
    </row>
    <row r="3222" spans="1:23" x14ac:dyDescent="0.25">
      <c r="A3222" t="s">
        <v>198</v>
      </c>
      <c r="B3222" t="s">
        <v>210</v>
      </c>
      <c r="C3222">
        <v>71</v>
      </c>
      <c r="D3222" t="s">
        <v>202</v>
      </c>
      <c r="E3222">
        <v>2631</v>
      </c>
      <c r="F3222" s="1">
        <v>3.49E-2</v>
      </c>
      <c r="H3222" s="1">
        <v>0.38519999999999999</v>
      </c>
      <c r="J3222" s="1">
        <v>0.1143</v>
      </c>
      <c r="M3222" s="1">
        <v>0.371</v>
      </c>
      <c r="R3222" s="1">
        <v>1.1299999999999999E-2</v>
      </c>
      <c r="V3222" s="1">
        <v>0.17879999999999999</v>
      </c>
      <c r="W3222" s="1">
        <v>0.18240000000000001</v>
      </c>
    </row>
    <row r="3223" spans="1:23" s="29" customFormat="1" x14ac:dyDescent="0.25">
      <c r="A3223" s="29" t="s">
        <v>198</v>
      </c>
      <c r="B3223" s="29" t="s">
        <v>209</v>
      </c>
      <c r="C3223" s="29">
        <v>25</v>
      </c>
      <c r="D3223" s="29" t="s">
        <v>202</v>
      </c>
      <c r="E3223" s="29">
        <v>2631</v>
      </c>
      <c r="F3223" s="30">
        <v>3.27E-2</v>
      </c>
      <c r="H3223" s="30">
        <v>0.48799999999999999</v>
      </c>
      <c r="M3223" s="30">
        <v>0.2782</v>
      </c>
      <c r="V3223" s="30">
        <v>0.32319999999999999</v>
      </c>
      <c r="W3223" s="30">
        <v>0.29920000000000002</v>
      </c>
    </row>
    <row r="3224" spans="1:23" x14ac:dyDescent="0.25">
      <c r="A3224" t="s">
        <v>203</v>
      </c>
      <c r="B3224" t="s">
        <v>209</v>
      </c>
      <c r="C3224">
        <v>126</v>
      </c>
      <c r="D3224" t="s">
        <v>199</v>
      </c>
      <c r="E3224">
        <v>2631</v>
      </c>
      <c r="F3224" s="1">
        <v>0.16980000000000001</v>
      </c>
      <c r="G3224" s="1">
        <v>3.9E-2</v>
      </c>
      <c r="H3224" s="1">
        <v>0.61409999999999998</v>
      </c>
      <c r="J3224" s="1">
        <v>1.84E-2</v>
      </c>
      <c r="L3224" s="1">
        <v>3.3399999999999999E-2</v>
      </c>
      <c r="M3224" s="1">
        <v>3.5900000000000001E-2</v>
      </c>
      <c r="N3224" s="1">
        <v>3.3999999999999998E-3</v>
      </c>
      <c r="P3224" s="1">
        <v>6.9900000000000004E-2</v>
      </c>
      <c r="Q3224" s="1">
        <v>0.1956</v>
      </c>
      <c r="R3224" s="1">
        <v>3.5099999999999999E-2</v>
      </c>
      <c r="S3224" s="1">
        <v>6.1000000000000004E-3</v>
      </c>
      <c r="U3224" s="1">
        <v>4.1999999999999997E-3</v>
      </c>
      <c r="V3224" s="1">
        <v>0.81410000000000005</v>
      </c>
      <c r="W3224" s="1">
        <v>0.61770000000000003</v>
      </c>
    </row>
    <row r="3225" spans="1:23" x14ac:dyDescent="0.25">
      <c r="A3225" t="s">
        <v>203</v>
      </c>
      <c r="B3225" t="s">
        <v>210</v>
      </c>
      <c r="C3225">
        <v>403</v>
      </c>
      <c r="D3225" t="s">
        <v>199</v>
      </c>
      <c r="E3225">
        <v>2631</v>
      </c>
      <c r="F3225" s="1">
        <v>0.1011</v>
      </c>
      <c r="G3225" s="1">
        <v>2.2000000000000001E-3</v>
      </c>
      <c r="H3225" s="1">
        <v>0.53769999999999996</v>
      </c>
      <c r="J3225" s="1">
        <v>7.8899999999999998E-2</v>
      </c>
      <c r="L3225" s="1">
        <v>1.24E-2</v>
      </c>
      <c r="M3225" s="1">
        <v>8.3799999999999999E-2</v>
      </c>
      <c r="O3225" s="1">
        <v>1.9E-3</v>
      </c>
      <c r="P3225" s="1">
        <v>2.0500000000000001E-2</v>
      </c>
      <c r="Q3225" s="1">
        <v>0.1883</v>
      </c>
      <c r="R3225" s="1">
        <v>4.4400000000000002E-2</v>
      </c>
      <c r="S3225" s="1">
        <v>2.8E-3</v>
      </c>
      <c r="T3225" s="1">
        <v>3.5999999999999999E-3</v>
      </c>
      <c r="U3225" s="1">
        <v>8.0000000000000004E-4</v>
      </c>
      <c r="V3225" s="1">
        <v>0.65680000000000005</v>
      </c>
      <c r="W3225" s="1">
        <v>0.56430000000000002</v>
      </c>
    </row>
    <row r="3226" spans="1:23" x14ac:dyDescent="0.25">
      <c r="A3226" t="s">
        <v>203</v>
      </c>
      <c r="B3226" t="s">
        <v>210</v>
      </c>
      <c r="C3226">
        <v>367</v>
      </c>
      <c r="D3226" t="s">
        <v>200</v>
      </c>
      <c r="E3226">
        <v>2631</v>
      </c>
      <c r="F3226" s="1">
        <v>9.9299999999999999E-2</v>
      </c>
      <c r="H3226" s="1">
        <v>0.51449999999999996</v>
      </c>
      <c r="J3226" s="1">
        <v>0.1547</v>
      </c>
      <c r="K3226" s="1">
        <v>1.34E-2</v>
      </c>
      <c r="M3226" s="1">
        <v>0.1608</v>
      </c>
      <c r="N3226" s="1">
        <v>2.0000000000000001E-4</v>
      </c>
      <c r="O3226" s="1">
        <v>2.0000000000000001E-4</v>
      </c>
      <c r="P3226" s="1">
        <v>3.27E-2</v>
      </c>
      <c r="Q3226" s="1">
        <v>9.8699999999999996E-2</v>
      </c>
      <c r="R3226" s="1">
        <v>5.0799999999999998E-2</v>
      </c>
      <c r="U3226" s="1">
        <v>8.0000000000000004E-4</v>
      </c>
      <c r="V3226" s="1">
        <v>0.25490000000000002</v>
      </c>
      <c r="W3226" s="1">
        <v>0.28520000000000001</v>
      </c>
    </row>
    <row r="3227" spans="1:23" x14ac:dyDescent="0.25">
      <c r="A3227" t="s">
        <v>203</v>
      </c>
      <c r="B3227" t="s">
        <v>209</v>
      </c>
      <c r="C3227">
        <v>136</v>
      </c>
      <c r="D3227" t="s">
        <v>200</v>
      </c>
      <c r="E3227">
        <v>2631</v>
      </c>
      <c r="F3227" s="1">
        <v>8.3099999999999993E-2</v>
      </c>
      <c r="H3227" s="1">
        <v>0.62009999999999998</v>
      </c>
      <c r="J3227" s="1">
        <v>8.2799999999999999E-2</v>
      </c>
      <c r="M3227" s="1">
        <v>0.14660000000000001</v>
      </c>
      <c r="O3227" s="1">
        <v>3.2000000000000002E-3</v>
      </c>
      <c r="P3227" s="1">
        <v>1.6999999999999999E-3</v>
      </c>
      <c r="Q3227" s="1">
        <v>7.4099999999999999E-2</v>
      </c>
      <c r="R3227" s="1">
        <v>1.4200000000000001E-2</v>
      </c>
      <c r="S3227" s="1">
        <v>4.8999999999999998E-3</v>
      </c>
      <c r="U3227" s="1">
        <v>6.1999999999999998E-3</v>
      </c>
      <c r="V3227" s="1">
        <v>0.30819999999999997</v>
      </c>
      <c r="W3227" s="1">
        <v>0.36730000000000002</v>
      </c>
    </row>
    <row r="3228" spans="1:23" x14ac:dyDescent="0.25">
      <c r="A3228" t="s">
        <v>203</v>
      </c>
      <c r="B3228" t="s">
        <v>209</v>
      </c>
      <c r="C3228">
        <v>86</v>
      </c>
      <c r="D3228" t="s">
        <v>201</v>
      </c>
      <c r="E3228">
        <v>2631</v>
      </c>
      <c r="F3228" s="1">
        <v>0.35470000000000002</v>
      </c>
      <c r="G3228" s="1">
        <v>5.9999999999999995E-4</v>
      </c>
      <c r="H3228" s="1">
        <v>0.70240000000000002</v>
      </c>
      <c r="J3228" s="1">
        <v>3.4700000000000002E-2</v>
      </c>
      <c r="M3228" s="1">
        <v>1.6199999999999999E-2</v>
      </c>
      <c r="P3228" s="1">
        <v>6.7000000000000002E-3</v>
      </c>
      <c r="Q3228" s="1">
        <v>0.11849999999999999</v>
      </c>
      <c r="R3228" s="1">
        <v>4.7300000000000002E-2</v>
      </c>
      <c r="S3228" s="1">
        <v>2.2499999999999999E-2</v>
      </c>
      <c r="U3228" s="1">
        <v>5.9999999999999995E-4</v>
      </c>
      <c r="V3228" s="1">
        <v>0.47370000000000001</v>
      </c>
      <c r="W3228" s="1">
        <v>0.48649999999999999</v>
      </c>
    </row>
    <row r="3229" spans="1:23" x14ac:dyDescent="0.25">
      <c r="A3229" t="s">
        <v>203</v>
      </c>
      <c r="B3229" t="s">
        <v>210</v>
      </c>
      <c r="C3229">
        <v>235</v>
      </c>
      <c r="D3229" t="s">
        <v>201</v>
      </c>
      <c r="E3229">
        <v>2631</v>
      </c>
      <c r="F3229" s="1">
        <v>0.22869999999999999</v>
      </c>
      <c r="G3229" s="1">
        <v>5.5999999999999999E-3</v>
      </c>
      <c r="H3229" s="1">
        <v>0.72719999999999996</v>
      </c>
      <c r="J3229" s="1">
        <v>7.8700000000000006E-2</v>
      </c>
      <c r="M3229" s="1">
        <v>0.1051</v>
      </c>
      <c r="P3229" s="1">
        <v>3.3300000000000003E-2</v>
      </c>
      <c r="Q3229" s="1">
        <v>4.4499999999999998E-2</v>
      </c>
      <c r="R3229" s="1">
        <v>1.01E-2</v>
      </c>
      <c r="S3229" s="1">
        <v>3.8E-3</v>
      </c>
      <c r="T3229" s="1">
        <v>2.9999999999999997E-4</v>
      </c>
      <c r="U3229" s="1">
        <v>2.0400000000000001E-2</v>
      </c>
      <c r="V3229" s="1">
        <v>0.38129999999999997</v>
      </c>
      <c r="W3229" s="1">
        <v>0.33279999999999998</v>
      </c>
    </row>
    <row r="3230" spans="1:23" s="29" customFormat="1" x14ac:dyDescent="0.25">
      <c r="A3230" s="29" t="s">
        <v>203</v>
      </c>
      <c r="B3230" s="29" t="s">
        <v>209</v>
      </c>
      <c r="C3230" s="29">
        <v>27</v>
      </c>
      <c r="D3230" s="29" t="s">
        <v>202</v>
      </c>
      <c r="E3230" s="29">
        <v>2631</v>
      </c>
      <c r="F3230" s="30">
        <v>4.5199999999999997E-2</v>
      </c>
      <c r="G3230" s="30">
        <v>1.35E-2</v>
      </c>
      <c r="H3230" s="30">
        <v>0.44669999999999999</v>
      </c>
      <c r="J3230" s="30">
        <v>4.9700000000000001E-2</v>
      </c>
      <c r="M3230" s="30">
        <v>0.42959999999999998</v>
      </c>
      <c r="T3230" s="30">
        <v>3.6999999999999998E-2</v>
      </c>
      <c r="U3230" s="30">
        <v>3.6999999999999998E-2</v>
      </c>
      <c r="V3230" s="30">
        <v>4.5199999999999997E-2</v>
      </c>
      <c r="W3230" s="30">
        <v>3.6999999999999998E-2</v>
      </c>
    </row>
    <row r="3231" spans="1:23" x14ac:dyDescent="0.25">
      <c r="A3231" t="s">
        <v>203</v>
      </c>
      <c r="B3231" t="s">
        <v>210</v>
      </c>
      <c r="C3231">
        <v>63</v>
      </c>
      <c r="D3231" t="s">
        <v>202</v>
      </c>
      <c r="E3231">
        <v>2631</v>
      </c>
      <c r="F3231" s="1">
        <v>1.7299999999999999E-2</v>
      </c>
      <c r="G3231" s="1">
        <v>8.2000000000000007E-3</v>
      </c>
      <c r="H3231" s="1">
        <v>0.4325</v>
      </c>
      <c r="I3231" s="1">
        <v>6.7999999999999996E-3</v>
      </c>
      <c r="J3231" s="1">
        <v>0.1118</v>
      </c>
      <c r="M3231" s="1">
        <v>0.36880000000000002</v>
      </c>
      <c r="O3231" s="1">
        <v>5.1999999999999998E-3</v>
      </c>
      <c r="Q3231" s="1">
        <v>1.7299999999999999E-2</v>
      </c>
      <c r="R3231" s="1">
        <v>2.0299999999999999E-2</v>
      </c>
      <c r="U3231" s="1">
        <v>1.21E-2</v>
      </c>
      <c r="V3231" s="1">
        <v>0.1744</v>
      </c>
      <c r="W3231" s="1">
        <v>8.6999999999999994E-2</v>
      </c>
    </row>
    <row r="3232" spans="1:23" x14ac:dyDescent="0.25">
      <c r="A3232" t="s">
        <v>204</v>
      </c>
      <c r="B3232" t="s">
        <v>204</v>
      </c>
      <c r="C3232">
        <v>2631</v>
      </c>
      <c r="D3232" t="s">
        <v>204</v>
      </c>
      <c r="E3232">
        <v>2631</v>
      </c>
      <c r="F3232" s="1">
        <v>8.5599999999999996E-2</v>
      </c>
      <c r="G3232" s="1">
        <v>3.0000000000000001E-3</v>
      </c>
      <c r="H3232" s="1">
        <v>0.46739999999999998</v>
      </c>
      <c r="I3232" s="1">
        <v>2E-3</v>
      </c>
      <c r="J3232" s="1">
        <v>0.10349999999999999</v>
      </c>
      <c r="K3232" s="1">
        <v>2.8E-3</v>
      </c>
      <c r="L3232" s="1">
        <v>2.3999999999999998E-3</v>
      </c>
      <c r="M3232" s="1">
        <v>0.1991</v>
      </c>
      <c r="N3232" s="1">
        <v>5.9999999999999995E-4</v>
      </c>
      <c r="O3232" s="1">
        <v>6.9999999999999999E-4</v>
      </c>
      <c r="P3232" s="1">
        <v>1.38E-2</v>
      </c>
      <c r="Q3232" s="1">
        <v>7.5399999999999995E-2</v>
      </c>
      <c r="R3232" s="1">
        <v>2.5000000000000001E-2</v>
      </c>
      <c r="S3232" s="1">
        <v>3.8999999999999998E-3</v>
      </c>
      <c r="T3232" s="1">
        <v>1.6999999999999999E-3</v>
      </c>
      <c r="U3232" s="1">
        <v>4.1999999999999997E-3</v>
      </c>
      <c r="V3232" s="1">
        <v>0.39140000000000003</v>
      </c>
      <c r="W3232" s="1">
        <v>0.37009999999999998</v>
      </c>
    </row>
    <row r="3234" spans="1:23" x14ac:dyDescent="0.25">
      <c r="A3234" t="s">
        <v>853</v>
      </c>
    </row>
    <row r="3235" spans="1:23" x14ac:dyDescent="0.25">
      <c r="A3235" t="s">
        <v>190</v>
      </c>
      <c r="B3235" t="s">
        <v>206</v>
      </c>
      <c r="C3235" t="s">
        <v>195</v>
      </c>
      <c r="D3235" t="s">
        <v>189</v>
      </c>
      <c r="E3235" t="s">
        <v>196</v>
      </c>
      <c r="F3235" t="s">
        <v>787</v>
      </c>
      <c r="G3235" t="s">
        <v>832</v>
      </c>
      <c r="H3235" t="s">
        <v>788</v>
      </c>
      <c r="I3235" t="s">
        <v>789</v>
      </c>
      <c r="J3235" t="s">
        <v>220</v>
      </c>
      <c r="K3235" t="s">
        <v>790</v>
      </c>
      <c r="L3235" t="s">
        <v>791</v>
      </c>
      <c r="M3235" t="s">
        <v>271</v>
      </c>
      <c r="N3235" t="s">
        <v>235</v>
      </c>
      <c r="O3235" t="s">
        <v>215</v>
      </c>
      <c r="P3235" t="s">
        <v>793</v>
      </c>
      <c r="Q3235" t="s">
        <v>794</v>
      </c>
      <c r="R3235" t="s">
        <v>795</v>
      </c>
      <c r="S3235" t="s">
        <v>796</v>
      </c>
      <c r="T3235" t="s">
        <v>797</v>
      </c>
      <c r="U3235" t="s">
        <v>798</v>
      </c>
      <c r="V3235" t="s">
        <v>800</v>
      </c>
      <c r="W3235" t="s">
        <v>801</v>
      </c>
    </row>
    <row r="3236" spans="1:23" x14ac:dyDescent="0.25">
      <c r="A3236" t="s">
        <v>198</v>
      </c>
      <c r="B3236" t="s">
        <v>228</v>
      </c>
      <c r="C3236">
        <v>33</v>
      </c>
      <c r="D3236" t="s">
        <v>197</v>
      </c>
      <c r="E3236">
        <v>2631</v>
      </c>
      <c r="F3236" s="1">
        <v>2.5600000000000001E-2</v>
      </c>
      <c r="H3236" s="1">
        <v>0.28670000000000001</v>
      </c>
      <c r="J3236" s="1">
        <v>4.9200000000000001E-2</v>
      </c>
      <c r="M3236" s="1">
        <v>0.48820000000000002</v>
      </c>
      <c r="V3236" s="1">
        <v>0.20150000000000001</v>
      </c>
      <c r="W3236" s="1">
        <v>0.1759</v>
      </c>
    </row>
    <row r="3237" spans="1:23" x14ac:dyDescent="0.25">
      <c r="A3237" t="s">
        <v>198</v>
      </c>
      <c r="B3237" t="s">
        <v>229</v>
      </c>
      <c r="C3237">
        <v>49</v>
      </c>
      <c r="D3237" t="s">
        <v>197</v>
      </c>
      <c r="E3237">
        <v>2631</v>
      </c>
      <c r="F3237" s="1">
        <v>2.4199999999999999E-2</v>
      </c>
      <c r="G3237" s="1">
        <v>1.32E-2</v>
      </c>
      <c r="H3237" s="1">
        <v>0.40749999999999997</v>
      </c>
      <c r="J3237" s="1">
        <v>0.15790000000000001</v>
      </c>
      <c r="M3237" s="1">
        <v>0.2097</v>
      </c>
      <c r="Q3237" s="1">
        <v>6.1600000000000002E-2</v>
      </c>
      <c r="R3237" s="1">
        <v>1.32E-2</v>
      </c>
      <c r="U3237" s="1">
        <v>1.32E-2</v>
      </c>
      <c r="V3237" s="1">
        <v>0.40039999999999998</v>
      </c>
      <c r="W3237" s="1">
        <v>0.41149999999999998</v>
      </c>
    </row>
    <row r="3238" spans="1:23" x14ac:dyDescent="0.25">
      <c r="A3238" t="s">
        <v>198</v>
      </c>
      <c r="B3238" t="s">
        <v>228</v>
      </c>
      <c r="C3238">
        <v>145</v>
      </c>
      <c r="D3238" t="s">
        <v>199</v>
      </c>
      <c r="E3238">
        <v>2631</v>
      </c>
      <c r="F3238" s="1">
        <v>0.20599999999999999</v>
      </c>
      <c r="H3238" s="1">
        <v>0.42720000000000002</v>
      </c>
      <c r="I3238" s="1">
        <v>7.7999999999999996E-3</v>
      </c>
      <c r="J3238" s="1">
        <v>0.1084</v>
      </c>
      <c r="M3238" s="1">
        <v>0.1527</v>
      </c>
      <c r="P3238" s="1">
        <v>4.8999999999999998E-3</v>
      </c>
      <c r="Q3238" s="1">
        <v>0.26429999999999998</v>
      </c>
      <c r="R3238" s="1">
        <v>7.7200000000000005E-2</v>
      </c>
      <c r="V3238" s="1">
        <v>0.5827</v>
      </c>
      <c r="W3238" s="1">
        <v>0.56630000000000003</v>
      </c>
    </row>
    <row r="3239" spans="1:23" x14ac:dyDescent="0.25">
      <c r="A3239" t="s">
        <v>198</v>
      </c>
      <c r="B3239" t="s">
        <v>229</v>
      </c>
      <c r="C3239">
        <v>213</v>
      </c>
      <c r="D3239" t="s">
        <v>199</v>
      </c>
      <c r="E3239">
        <v>2631</v>
      </c>
      <c r="F3239" s="1">
        <v>5.9299999999999999E-2</v>
      </c>
      <c r="H3239" s="1">
        <v>0.39750000000000002</v>
      </c>
      <c r="I3239" s="1">
        <v>2.3999999999999998E-3</v>
      </c>
      <c r="J3239" s="1">
        <v>2.3300000000000001E-2</v>
      </c>
      <c r="L3239" s="1">
        <v>5.9999999999999995E-4</v>
      </c>
      <c r="M3239" s="1">
        <v>0.15029999999999999</v>
      </c>
      <c r="N3239" s="1">
        <v>5.9999999999999995E-4</v>
      </c>
      <c r="Q3239" s="1">
        <v>2.7900000000000001E-2</v>
      </c>
      <c r="R3239" s="1">
        <v>2.8999999999999998E-3</v>
      </c>
      <c r="S3239" s="1">
        <v>2.3599999999999999E-2</v>
      </c>
      <c r="U3239" s="1">
        <v>4.3E-3</v>
      </c>
      <c r="V3239" s="1">
        <v>0.71250000000000002</v>
      </c>
      <c r="W3239" s="1">
        <v>0.63729999999999998</v>
      </c>
    </row>
    <row r="3240" spans="1:23" x14ac:dyDescent="0.25">
      <c r="A3240" t="s">
        <v>198</v>
      </c>
      <c r="B3240" t="s">
        <v>229</v>
      </c>
      <c r="C3240">
        <v>269</v>
      </c>
      <c r="D3240" t="s">
        <v>200</v>
      </c>
      <c r="E3240">
        <v>2631</v>
      </c>
      <c r="F3240" s="1">
        <v>4.3700000000000003E-2</v>
      </c>
      <c r="G3240" s="1">
        <v>2.3E-3</v>
      </c>
      <c r="H3240" s="1">
        <v>0.26900000000000002</v>
      </c>
      <c r="I3240" s="1">
        <v>1.34E-2</v>
      </c>
      <c r="J3240" s="1">
        <v>0.18890000000000001</v>
      </c>
      <c r="M3240" s="1">
        <v>0.25480000000000003</v>
      </c>
      <c r="P3240" s="1">
        <v>7.7999999999999996E-3</v>
      </c>
      <c r="Q3240" s="1">
        <v>4.5199999999999997E-2</v>
      </c>
      <c r="R3240" s="1">
        <v>1.21E-2</v>
      </c>
      <c r="S3240" s="1">
        <v>3.0000000000000001E-3</v>
      </c>
      <c r="V3240" s="1">
        <v>0.34989999999999999</v>
      </c>
      <c r="W3240" s="1">
        <v>0.30320000000000003</v>
      </c>
    </row>
    <row r="3241" spans="1:23" x14ac:dyDescent="0.25">
      <c r="A3241" t="s">
        <v>198</v>
      </c>
      <c r="B3241" t="s">
        <v>228</v>
      </c>
      <c r="C3241">
        <v>112</v>
      </c>
      <c r="D3241" t="s">
        <v>200</v>
      </c>
      <c r="E3241">
        <v>2631</v>
      </c>
      <c r="H3241" s="1">
        <v>0.28760000000000002</v>
      </c>
      <c r="J3241" s="1">
        <v>0.1031</v>
      </c>
      <c r="M3241" s="1">
        <v>0.40329999999999999</v>
      </c>
      <c r="T3241" s="1">
        <v>1.9900000000000001E-2</v>
      </c>
      <c r="U3241" s="1">
        <v>1.9900000000000001E-2</v>
      </c>
      <c r="V3241" s="1">
        <v>0.2576</v>
      </c>
      <c r="W3241" s="1">
        <v>0.25940000000000002</v>
      </c>
    </row>
    <row r="3242" spans="1:23" x14ac:dyDescent="0.25">
      <c r="A3242" t="s">
        <v>198</v>
      </c>
      <c r="B3242" t="s">
        <v>228</v>
      </c>
      <c r="C3242">
        <v>95</v>
      </c>
      <c r="D3242" t="s">
        <v>201</v>
      </c>
      <c r="E3242">
        <v>2631</v>
      </c>
      <c r="F3242" s="1">
        <v>0.19520000000000001</v>
      </c>
      <c r="G3242" s="1">
        <v>3.0999999999999999E-3</v>
      </c>
      <c r="H3242" s="1">
        <v>0.44779999999999998</v>
      </c>
      <c r="J3242" s="1">
        <v>5.8400000000000001E-2</v>
      </c>
      <c r="M3242" s="1">
        <v>0.29770000000000002</v>
      </c>
      <c r="P3242" s="1">
        <v>1.03E-2</v>
      </c>
      <c r="Q3242" s="1">
        <v>1.17E-2</v>
      </c>
      <c r="R3242" s="1">
        <v>5.7999999999999996E-3</v>
      </c>
      <c r="T3242" s="1">
        <v>2.1000000000000001E-2</v>
      </c>
      <c r="V3242" s="1">
        <v>0.32829999999999998</v>
      </c>
      <c r="W3242" s="1">
        <v>0.28149999999999997</v>
      </c>
    </row>
    <row r="3243" spans="1:23" x14ac:dyDescent="0.25">
      <c r="A3243" t="s">
        <v>198</v>
      </c>
      <c r="B3243" t="s">
        <v>229</v>
      </c>
      <c r="C3243">
        <v>155</v>
      </c>
      <c r="D3243" t="s">
        <v>201</v>
      </c>
      <c r="E3243">
        <v>2631</v>
      </c>
      <c r="F3243" s="1">
        <v>6.1100000000000002E-2</v>
      </c>
      <c r="H3243" s="1">
        <v>0.36799999999999999</v>
      </c>
      <c r="J3243" s="1">
        <v>0.1045</v>
      </c>
      <c r="M3243" s="1">
        <v>0.16739999999999999</v>
      </c>
      <c r="N3243" s="1">
        <v>1.2E-2</v>
      </c>
      <c r="O3243" s="1">
        <v>8.9999999999999998E-4</v>
      </c>
      <c r="Q3243" s="1">
        <v>1.3599999999999999E-2</v>
      </c>
      <c r="R3243" s="1">
        <v>1.2E-2</v>
      </c>
      <c r="V3243" s="1">
        <v>0.43509999999999999</v>
      </c>
      <c r="W3243" s="1">
        <v>0.44290000000000002</v>
      </c>
    </row>
    <row r="3244" spans="1:23" s="29" customFormat="1" x14ac:dyDescent="0.25">
      <c r="A3244" s="29" t="s">
        <v>198</v>
      </c>
      <c r="B3244" s="29" t="s">
        <v>228</v>
      </c>
      <c r="C3244" s="29">
        <v>28</v>
      </c>
      <c r="D3244" s="29" t="s">
        <v>202</v>
      </c>
      <c r="E3244" s="29">
        <v>2631</v>
      </c>
      <c r="F3244" s="30">
        <v>8.0299999999999996E-2</v>
      </c>
      <c r="H3244" s="30">
        <v>0.4733</v>
      </c>
      <c r="J3244" s="30">
        <v>0.1222</v>
      </c>
      <c r="M3244" s="30">
        <v>0.34279999999999999</v>
      </c>
      <c r="V3244" s="30">
        <v>0.13120000000000001</v>
      </c>
      <c r="W3244" s="30">
        <v>0.1018</v>
      </c>
    </row>
    <row r="3245" spans="1:23" x14ac:dyDescent="0.25">
      <c r="A3245" t="s">
        <v>198</v>
      </c>
      <c r="B3245" t="s">
        <v>229</v>
      </c>
      <c r="C3245">
        <v>68</v>
      </c>
      <c r="D3245" t="s">
        <v>202</v>
      </c>
      <c r="E3245">
        <v>2631</v>
      </c>
      <c r="F3245" s="1">
        <v>0.02</v>
      </c>
      <c r="H3245" s="1">
        <v>0.39689999999999998</v>
      </c>
      <c r="J3245" s="1">
        <v>6.8400000000000002E-2</v>
      </c>
      <c r="M3245" s="1">
        <v>0.34449999999999997</v>
      </c>
      <c r="R3245" s="1">
        <v>1.0500000000000001E-2</v>
      </c>
      <c r="V3245" s="1">
        <v>0.24840000000000001</v>
      </c>
      <c r="W3245" s="1">
        <v>0.25169999999999998</v>
      </c>
    </row>
    <row r="3246" spans="1:23" x14ac:dyDescent="0.25">
      <c r="A3246" t="s">
        <v>203</v>
      </c>
      <c r="B3246" t="s">
        <v>229</v>
      </c>
      <c r="C3246">
        <v>369</v>
      </c>
      <c r="D3246" t="s">
        <v>199</v>
      </c>
      <c r="E3246">
        <v>2631</v>
      </c>
      <c r="F3246" s="1">
        <v>0.1143</v>
      </c>
      <c r="G3246" s="1">
        <v>1.2999999999999999E-2</v>
      </c>
      <c r="H3246" s="1">
        <v>0.58489999999999998</v>
      </c>
      <c r="J3246" s="1">
        <v>6.0999999999999999E-2</v>
      </c>
      <c r="L3246" s="1">
        <v>9.5999999999999992E-3</v>
      </c>
      <c r="M3246" s="1">
        <v>6.0299999999999999E-2</v>
      </c>
      <c r="N3246" s="1">
        <v>1E-3</v>
      </c>
      <c r="O3246" s="1">
        <v>5.9999999999999995E-4</v>
      </c>
      <c r="P3246" s="1">
        <v>3.3099999999999997E-2</v>
      </c>
      <c r="Q3246" s="1">
        <v>0.1946</v>
      </c>
      <c r="R3246" s="1">
        <v>3.6900000000000002E-2</v>
      </c>
      <c r="S3246" s="1">
        <v>2.5000000000000001E-3</v>
      </c>
      <c r="T3246" s="1">
        <v>3.0000000000000001E-3</v>
      </c>
      <c r="U3246" s="1">
        <v>5.9999999999999995E-4</v>
      </c>
      <c r="V3246" s="1">
        <v>0.72050000000000003</v>
      </c>
      <c r="W3246" s="1">
        <v>0.5927</v>
      </c>
    </row>
    <row r="3247" spans="1:23" x14ac:dyDescent="0.25">
      <c r="A3247" t="s">
        <v>203</v>
      </c>
      <c r="B3247" t="s">
        <v>228</v>
      </c>
      <c r="C3247">
        <v>150</v>
      </c>
      <c r="D3247" t="s">
        <v>199</v>
      </c>
      <c r="E3247">
        <v>2631</v>
      </c>
      <c r="F3247" s="1">
        <v>0.16980000000000001</v>
      </c>
      <c r="G3247" s="1">
        <v>4.8999999999999998E-3</v>
      </c>
      <c r="H3247" s="1">
        <v>0.34620000000000001</v>
      </c>
      <c r="J3247" s="1">
        <v>6.8000000000000005E-2</v>
      </c>
      <c r="L3247" s="1">
        <v>9.0700000000000003E-2</v>
      </c>
      <c r="M3247" s="1">
        <v>0.1583</v>
      </c>
      <c r="O3247" s="1">
        <v>7.7000000000000002E-3</v>
      </c>
      <c r="P3247" s="1">
        <v>3.6999999999999998E-2</v>
      </c>
      <c r="Q3247" s="1">
        <v>0.1613</v>
      </c>
      <c r="R3247" s="1">
        <v>8.6400000000000005E-2</v>
      </c>
      <c r="S3247" s="1">
        <v>1.37E-2</v>
      </c>
      <c r="U3247" s="1">
        <v>5.8999999999999999E-3</v>
      </c>
      <c r="V3247" s="1">
        <v>0.52690000000000003</v>
      </c>
      <c r="W3247" s="1">
        <v>0.46289999999999998</v>
      </c>
    </row>
    <row r="3248" spans="1:23" x14ac:dyDescent="0.25">
      <c r="A3248" t="s">
        <v>203</v>
      </c>
      <c r="B3248" t="s">
        <v>229</v>
      </c>
      <c r="C3248">
        <v>347</v>
      </c>
      <c r="D3248" t="s">
        <v>200</v>
      </c>
      <c r="E3248">
        <v>2631</v>
      </c>
      <c r="F3248" s="1">
        <v>9.7699999999999995E-2</v>
      </c>
      <c r="H3248" s="1">
        <v>0.56340000000000001</v>
      </c>
      <c r="J3248" s="1">
        <v>0.14510000000000001</v>
      </c>
      <c r="K3248" s="1">
        <v>1.1299999999999999E-2</v>
      </c>
      <c r="M3248" s="1">
        <v>0.12529999999999999</v>
      </c>
      <c r="N3248" s="1">
        <v>1E-4</v>
      </c>
      <c r="O3248" s="1">
        <v>1.4E-3</v>
      </c>
      <c r="P3248" s="1">
        <v>2.18E-2</v>
      </c>
      <c r="Q3248" s="1">
        <v>9.3799999999999994E-2</v>
      </c>
      <c r="R3248" s="1">
        <v>4.6300000000000001E-2</v>
      </c>
      <c r="S3248" s="1">
        <v>1.9E-3</v>
      </c>
      <c r="U3248" s="1">
        <v>3.0999999999999999E-3</v>
      </c>
      <c r="V3248" s="1">
        <v>0.2707</v>
      </c>
      <c r="W3248" s="1">
        <v>0.3286</v>
      </c>
    </row>
    <row r="3249" spans="1:23" x14ac:dyDescent="0.25">
      <c r="A3249" t="s">
        <v>203</v>
      </c>
      <c r="B3249" t="s">
        <v>228</v>
      </c>
      <c r="C3249">
        <v>155</v>
      </c>
      <c r="D3249" t="s">
        <v>200</v>
      </c>
      <c r="E3249">
        <v>2631</v>
      </c>
      <c r="F3249" s="1">
        <v>7.9500000000000001E-2</v>
      </c>
      <c r="H3249" s="1">
        <v>0.48580000000000001</v>
      </c>
      <c r="J3249" s="1">
        <v>7.5999999999999998E-2</v>
      </c>
      <c r="M3249" s="1">
        <v>0.28560000000000002</v>
      </c>
      <c r="P3249" s="1">
        <v>2.6800000000000001E-2</v>
      </c>
      <c r="Q3249" s="1">
        <v>7.8799999999999995E-2</v>
      </c>
      <c r="R3249" s="1">
        <v>8.9999999999999993E-3</v>
      </c>
      <c r="V3249" s="1">
        <v>0.27689999999999998</v>
      </c>
      <c r="W3249" s="1">
        <v>0.23960000000000001</v>
      </c>
    </row>
    <row r="3250" spans="1:23" x14ac:dyDescent="0.25">
      <c r="A3250" t="s">
        <v>203</v>
      </c>
      <c r="B3250" t="s">
        <v>229</v>
      </c>
      <c r="C3250">
        <v>137</v>
      </c>
      <c r="D3250" t="s">
        <v>201</v>
      </c>
      <c r="E3250">
        <v>2631</v>
      </c>
      <c r="F3250" s="1">
        <v>0.26790000000000003</v>
      </c>
      <c r="G3250" s="1">
        <v>3.2000000000000002E-3</v>
      </c>
      <c r="H3250" s="1">
        <v>0.7419</v>
      </c>
      <c r="J3250" s="1">
        <v>4.24E-2</v>
      </c>
      <c r="M3250" s="1">
        <v>7.3899999999999993E-2</v>
      </c>
      <c r="P3250" s="1">
        <v>6.4999999999999997E-3</v>
      </c>
      <c r="Q3250" s="1">
        <v>7.51E-2</v>
      </c>
      <c r="R3250" s="1">
        <v>2.8400000000000002E-2</v>
      </c>
      <c r="S3250" s="1">
        <v>1.11E-2</v>
      </c>
      <c r="U3250" s="1">
        <v>1.83E-2</v>
      </c>
      <c r="V3250" s="1">
        <v>0.47349999999999998</v>
      </c>
      <c r="W3250" s="1">
        <v>0.44109999999999999</v>
      </c>
    </row>
    <row r="3251" spans="1:23" x14ac:dyDescent="0.25">
      <c r="A3251" t="s">
        <v>203</v>
      </c>
      <c r="B3251" t="s">
        <v>228</v>
      </c>
      <c r="C3251">
        <v>177</v>
      </c>
      <c r="D3251" t="s">
        <v>201</v>
      </c>
      <c r="E3251">
        <v>2631</v>
      </c>
      <c r="F3251" s="1">
        <v>0.26939999999999997</v>
      </c>
      <c r="G3251" s="1">
        <v>6.8999999999999999E-3</v>
      </c>
      <c r="H3251" s="1">
        <v>0.65059999999999996</v>
      </c>
      <c r="J3251" s="1">
        <v>0.13780000000000001</v>
      </c>
      <c r="M3251" s="1">
        <v>9.0300000000000005E-2</v>
      </c>
      <c r="P3251" s="1">
        <v>8.3799999999999999E-2</v>
      </c>
      <c r="Q3251" s="1">
        <v>4.3400000000000001E-2</v>
      </c>
      <c r="S3251" s="1">
        <v>4.8999999999999998E-3</v>
      </c>
      <c r="U3251" s="1">
        <v>1.6000000000000001E-3</v>
      </c>
      <c r="V3251" s="1">
        <v>0.2034</v>
      </c>
      <c r="W3251" s="1">
        <v>0.182</v>
      </c>
    </row>
    <row r="3252" spans="1:23" x14ac:dyDescent="0.25">
      <c r="A3252" t="s">
        <v>203</v>
      </c>
      <c r="B3252" t="s">
        <v>228</v>
      </c>
      <c r="C3252">
        <v>34</v>
      </c>
      <c r="D3252" t="s">
        <v>202</v>
      </c>
      <c r="E3252">
        <v>2631</v>
      </c>
      <c r="F3252" s="1">
        <v>1.32E-2</v>
      </c>
      <c r="G3252" s="1">
        <v>1.32E-2</v>
      </c>
      <c r="H3252" s="1">
        <v>0.4123</v>
      </c>
      <c r="J3252" s="1">
        <v>0.20810000000000001</v>
      </c>
      <c r="M3252" s="1">
        <v>0.34339999999999998</v>
      </c>
      <c r="U3252" s="1">
        <v>3.1E-2</v>
      </c>
      <c r="V3252" s="1">
        <v>4.4200000000000003E-2</v>
      </c>
      <c r="W3252" s="1">
        <v>3.6200000000000003E-2</v>
      </c>
    </row>
    <row r="3253" spans="1:23" x14ac:dyDescent="0.25">
      <c r="A3253" t="s">
        <v>203</v>
      </c>
      <c r="B3253" t="s">
        <v>229</v>
      </c>
      <c r="C3253">
        <v>56</v>
      </c>
      <c r="D3253" t="s">
        <v>202</v>
      </c>
      <c r="E3253">
        <v>2631</v>
      </c>
      <c r="F3253" s="1">
        <v>2.9700000000000001E-2</v>
      </c>
      <c r="G3253" s="1">
        <v>8.3000000000000001E-3</v>
      </c>
      <c r="H3253" s="1">
        <v>0.44600000000000001</v>
      </c>
      <c r="I3253" s="1">
        <v>6.8999999999999999E-3</v>
      </c>
      <c r="J3253" s="1">
        <v>4.99E-2</v>
      </c>
      <c r="M3253" s="1">
        <v>0.4022</v>
      </c>
      <c r="O3253" s="1">
        <v>5.1999999999999998E-3</v>
      </c>
      <c r="Q3253" s="1">
        <v>1.7399999999999999E-2</v>
      </c>
      <c r="R3253" s="1">
        <v>2.0500000000000001E-2</v>
      </c>
      <c r="T3253" s="1">
        <v>1.43E-2</v>
      </c>
      <c r="U3253" s="1">
        <v>1.43E-2</v>
      </c>
      <c r="V3253" s="1">
        <v>0.17599999999999999</v>
      </c>
      <c r="W3253" s="1">
        <v>8.7800000000000003E-2</v>
      </c>
    </row>
    <row r="3254" spans="1:23" x14ac:dyDescent="0.25">
      <c r="A3254" t="s">
        <v>204</v>
      </c>
      <c r="B3254" t="s">
        <v>204</v>
      </c>
      <c r="C3254">
        <v>2631</v>
      </c>
      <c r="D3254" t="s">
        <v>204</v>
      </c>
      <c r="E3254">
        <v>2631</v>
      </c>
      <c r="F3254" s="1">
        <v>8.5599999999999996E-2</v>
      </c>
      <c r="G3254" s="1">
        <v>3.0000000000000001E-3</v>
      </c>
      <c r="H3254" s="1">
        <v>0.46739999999999998</v>
      </c>
      <c r="I3254" s="1">
        <v>2E-3</v>
      </c>
      <c r="J3254" s="1">
        <v>0.10349999999999999</v>
      </c>
      <c r="K3254" s="1">
        <v>2.8E-3</v>
      </c>
      <c r="L3254" s="1">
        <v>2.3999999999999998E-3</v>
      </c>
      <c r="M3254" s="1">
        <v>0.1991</v>
      </c>
      <c r="N3254" s="1">
        <v>5.9999999999999995E-4</v>
      </c>
      <c r="O3254" s="1">
        <v>6.9999999999999999E-4</v>
      </c>
      <c r="P3254" s="1">
        <v>1.38E-2</v>
      </c>
      <c r="Q3254" s="1">
        <v>7.5399999999999995E-2</v>
      </c>
      <c r="R3254" s="1">
        <v>2.5000000000000001E-2</v>
      </c>
      <c r="S3254" s="1">
        <v>3.8999999999999998E-3</v>
      </c>
      <c r="T3254" s="1">
        <v>1.6999999999999999E-3</v>
      </c>
      <c r="U3254" s="1">
        <v>4.1999999999999997E-3</v>
      </c>
      <c r="V3254" s="1">
        <v>0.39140000000000003</v>
      </c>
      <c r="W3254" s="1">
        <v>0.37009999999999998</v>
      </c>
    </row>
    <row r="3256" spans="1:23" x14ac:dyDescent="0.25">
      <c r="A3256" t="s">
        <v>854</v>
      </c>
    </row>
    <row r="3257" spans="1:23" x14ac:dyDescent="0.25">
      <c r="A3257" t="s">
        <v>190</v>
      </c>
      <c r="B3257" t="s">
        <v>206</v>
      </c>
      <c r="C3257" t="s">
        <v>195</v>
      </c>
      <c r="D3257" t="s">
        <v>189</v>
      </c>
      <c r="E3257" t="s">
        <v>196</v>
      </c>
      <c r="F3257" t="s">
        <v>787</v>
      </c>
      <c r="G3257" t="s">
        <v>832</v>
      </c>
      <c r="H3257" t="s">
        <v>788</v>
      </c>
      <c r="I3257" t="s">
        <v>789</v>
      </c>
      <c r="J3257" t="s">
        <v>220</v>
      </c>
      <c r="K3257" t="s">
        <v>790</v>
      </c>
      <c r="L3257" t="s">
        <v>791</v>
      </c>
      <c r="M3257" t="s">
        <v>271</v>
      </c>
      <c r="N3257" t="s">
        <v>235</v>
      </c>
      <c r="O3257" t="s">
        <v>215</v>
      </c>
      <c r="P3257" t="s">
        <v>793</v>
      </c>
      <c r="Q3257" t="s">
        <v>794</v>
      </c>
      <c r="R3257" t="s">
        <v>795</v>
      </c>
      <c r="S3257" t="s">
        <v>796</v>
      </c>
      <c r="T3257" t="s">
        <v>797</v>
      </c>
      <c r="U3257" t="s">
        <v>798</v>
      </c>
      <c r="V3257" t="s">
        <v>800</v>
      </c>
      <c r="W3257" t="s">
        <v>801</v>
      </c>
    </row>
    <row r="3258" spans="1:23" x14ac:dyDescent="0.25">
      <c r="A3258" t="s">
        <v>198</v>
      </c>
      <c r="B3258" t="s">
        <v>348</v>
      </c>
      <c r="C3258">
        <v>79</v>
      </c>
      <c r="D3258" t="s">
        <v>197</v>
      </c>
      <c r="E3258">
        <v>2631</v>
      </c>
      <c r="F3258" s="1">
        <v>1.4200000000000001E-2</v>
      </c>
      <c r="G3258" s="1">
        <v>7.7000000000000002E-3</v>
      </c>
      <c r="H3258" s="1">
        <v>0.36749999999999999</v>
      </c>
      <c r="J3258" s="1">
        <v>0.1147</v>
      </c>
      <c r="M3258" s="1">
        <v>0.31840000000000002</v>
      </c>
      <c r="Q3258" s="1">
        <v>3.6200000000000003E-2</v>
      </c>
      <c r="R3258" s="1">
        <v>7.7000000000000002E-3</v>
      </c>
      <c r="U3258" s="1">
        <v>7.7000000000000002E-3</v>
      </c>
      <c r="V3258" s="1">
        <v>0.31390000000000001</v>
      </c>
      <c r="W3258" s="1">
        <v>0.30890000000000001</v>
      </c>
    </row>
    <row r="3259" spans="1:23" s="29" customFormat="1" x14ac:dyDescent="0.25">
      <c r="A3259" s="29" t="s">
        <v>198</v>
      </c>
      <c r="B3259" s="29" t="s">
        <v>349</v>
      </c>
      <c r="C3259" s="29">
        <v>3</v>
      </c>
      <c r="D3259" s="29" t="s">
        <v>197</v>
      </c>
      <c r="E3259" s="29">
        <v>2631</v>
      </c>
      <c r="F3259" s="30">
        <v>0.33329999999999999</v>
      </c>
      <c r="M3259" s="30">
        <v>0.66669999999999996</v>
      </c>
      <c r="V3259" s="30">
        <v>0.33329999999999999</v>
      </c>
      <c r="W3259" s="30">
        <v>0.33329999999999999</v>
      </c>
    </row>
    <row r="3260" spans="1:23" x14ac:dyDescent="0.25">
      <c r="A3260" t="s">
        <v>198</v>
      </c>
      <c r="B3260" t="s">
        <v>348</v>
      </c>
      <c r="C3260">
        <v>54</v>
      </c>
      <c r="D3260" t="s">
        <v>199</v>
      </c>
      <c r="E3260">
        <v>2631</v>
      </c>
      <c r="F3260" s="1">
        <v>0.1333</v>
      </c>
      <c r="H3260" s="1">
        <v>0.43049999999999999</v>
      </c>
      <c r="J3260" s="1">
        <v>3.0499999999999999E-2</v>
      </c>
      <c r="M3260" s="1">
        <v>0.20669999999999999</v>
      </c>
      <c r="Q3260" s="1">
        <v>3.04E-2</v>
      </c>
      <c r="R3260" s="1">
        <v>0.12559999999999999</v>
      </c>
      <c r="V3260" s="1">
        <v>0.64300000000000002</v>
      </c>
      <c r="W3260" s="1">
        <v>0.43509999999999999</v>
      </c>
    </row>
    <row r="3261" spans="1:23" x14ac:dyDescent="0.25">
      <c r="A3261" t="s">
        <v>198</v>
      </c>
      <c r="B3261" t="s">
        <v>349</v>
      </c>
      <c r="C3261">
        <v>111</v>
      </c>
      <c r="D3261" t="s">
        <v>199</v>
      </c>
      <c r="E3261">
        <v>2631</v>
      </c>
      <c r="F3261" s="1">
        <v>0.13789999999999999</v>
      </c>
      <c r="H3261" s="1">
        <v>0.4677</v>
      </c>
      <c r="I3261" s="1">
        <v>3.8999999999999998E-3</v>
      </c>
      <c r="J3261" s="1">
        <v>2.7900000000000001E-2</v>
      </c>
      <c r="L3261" s="1">
        <v>1E-3</v>
      </c>
      <c r="M3261" s="1">
        <v>0.19650000000000001</v>
      </c>
      <c r="Q3261" s="1">
        <v>0.11559999999999999</v>
      </c>
      <c r="R3261" s="1">
        <v>4.7999999999999996E-3</v>
      </c>
      <c r="S3261" s="1">
        <v>3.8699999999999998E-2</v>
      </c>
      <c r="V3261" s="1">
        <v>0.62549999999999994</v>
      </c>
      <c r="W3261" s="1">
        <v>0.56269999999999998</v>
      </c>
    </row>
    <row r="3262" spans="1:23" x14ac:dyDescent="0.25">
      <c r="A3262" t="s">
        <v>198</v>
      </c>
      <c r="B3262" t="s">
        <v>350</v>
      </c>
      <c r="C3262">
        <v>193</v>
      </c>
      <c r="D3262" t="s">
        <v>199</v>
      </c>
      <c r="E3262">
        <v>2631</v>
      </c>
      <c r="F3262" s="1">
        <v>3.9699999999999999E-2</v>
      </c>
      <c r="H3262" s="1">
        <v>0.32700000000000001</v>
      </c>
      <c r="I3262" s="1">
        <v>4.8999999999999998E-3</v>
      </c>
      <c r="J3262" s="1">
        <v>6.9699999999999998E-2</v>
      </c>
      <c r="M3262" s="1">
        <v>8.1199999999999994E-2</v>
      </c>
      <c r="N3262" s="1">
        <v>1.1000000000000001E-3</v>
      </c>
      <c r="P3262" s="1">
        <v>3.0999999999999999E-3</v>
      </c>
      <c r="Q3262" s="1">
        <v>7.9299999999999995E-2</v>
      </c>
      <c r="R3262" s="1">
        <v>6.0000000000000001E-3</v>
      </c>
      <c r="U3262" s="1">
        <v>7.7999999999999996E-3</v>
      </c>
      <c r="V3262" s="1">
        <v>0.75070000000000003</v>
      </c>
      <c r="W3262" s="1">
        <v>0.74450000000000005</v>
      </c>
    </row>
    <row r="3263" spans="1:23" x14ac:dyDescent="0.25">
      <c r="A3263" t="s">
        <v>198</v>
      </c>
      <c r="B3263" t="s">
        <v>350</v>
      </c>
      <c r="C3263">
        <v>78</v>
      </c>
      <c r="D3263" t="s">
        <v>200</v>
      </c>
      <c r="E3263">
        <v>2631</v>
      </c>
      <c r="F3263" s="1">
        <v>1.35E-2</v>
      </c>
      <c r="H3263" s="1">
        <v>0.1123</v>
      </c>
      <c r="I3263" s="1">
        <v>1.35E-2</v>
      </c>
      <c r="J3263" s="1">
        <v>0.14760000000000001</v>
      </c>
      <c r="M3263" s="1">
        <v>0.30570000000000003</v>
      </c>
      <c r="P3263" s="1">
        <v>4.24E-2</v>
      </c>
      <c r="Q3263" s="1">
        <v>4.1000000000000002E-2</v>
      </c>
      <c r="S3263" s="1">
        <v>3.2099999999999997E-2</v>
      </c>
      <c r="V3263" s="1">
        <v>0.50390000000000001</v>
      </c>
      <c r="W3263" s="1">
        <v>0.45689999999999997</v>
      </c>
    </row>
    <row r="3264" spans="1:23" x14ac:dyDescent="0.25">
      <c r="A3264" t="s">
        <v>198</v>
      </c>
      <c r="B3264" t="s">
        <v>348</v>
      </c>
      <c r="C3264">
        <v>241</v>
      </c>
      <c r="D3264" t="s">
        <v>200</v>
      </c>
      <c r="E3264">
        <v>2631</v>
      </c>
      <c r="F3264" s="1">
        <v>3.73E-2</v>
      </c>
      <c r="G3264" s="1">
        <v>2E-3</v>
      </c>
      <c r="H3264" s="1">
        <v>0.27479999999999999</v>
      </c>
      <c r="I3264" s="1">
        <v>1.06E-2</v>
      </c>
      <c r="J3264" s="1">
        <v>0.17430000000000001</v>
      </c>
      <c r="M3264" s="1">
        <v>0.29849999999999999</v>
      </c>
      <c r="Q3264" s="1">
        <v>3.2099999999999997E-2</v>
      </c>
      <c r="R3264" s="1">
        <v>1.06E-2</v>
      </c>
      <c r="T3264" s="1">
        <v>5.4000000000000003E-3</v>
      </c>
      <c r="U3264" s="1">
        <v>5.4000000000000003E-3</v>
      </c>
      <c r="V3264" s="1">
        <v>0.31369999999999998</v>
      </c>
      <c r="W3264" s="1">
        <v>0.27210000000000001</v>
      </c>
    </row>
    <row r="3265" spans="1:23" x14ac:dyDescent="0.25">
      <c r="A3265" t="s">
        <v>198</v>
      </c>
      <c r="B3265" t="s">
        <v>349</v>
      </c>
      <c r="C3265">
        <v>62</v>
      </c>
      <c r="D3265" t="s">
        <v>200</v>
      </c>
      <c r="E3265">
        <v>2631</v>
      </c>
      <c r="H3265" s="1">
        <v>0.4476</v>
      </c>
      <c r="J3265" s="1">
        <v>0.1132</v>
      </c>
      <c r="M3265" s="1">
        <v>0.13730000000000001</v>
      </c>
      <c r="P3265" s="1">
        <v>5.0099999999999999E-2</v>
      </c>
      <c r="Q3265" s="1">
        <v>6.3899999999999998E-2</v>
      </c>
      <c r="V3265" s="1">
        <v>0.33189999999999997</v>
      </c>
      <c r="W3265" s="1">
        <v>0.40300000000000002</v>
      </c>
    </row>
    <row r="3266" spans="1:23" x14ac:dyDescent="0.25">
      <c r="A3266" t="s">
        <v>198</v>
      </c>
      <c r="B3266" t="s">
        <v>349</v>
      </c>
      <c r="C3266">
        <v>125</v>
      </c>
      <c r="D3266" t="s">
        <v>201</v>
      </c>
      <c r="E3266">
        <v>2631</v>
      </c>
      <c r="F3266" s="1">
        <v>7.4399999999999994E-2</v>
      </c>
      <c r="H3266" s="1">
        <v>0.37690000000000001</v>
      </c>
      <c r="J3266" s="1">
        <v>9.0899999999999995E-2</v>
      </c>
      <c r="M3266" s="1">
        <v>0.15759999999999999</v>
      </c>
      <c r="N3266" s="1">
        <v>1.3599999999999999E-2</v>
      </c>
      <c r="P3266" s="1">
        <v>1.4E-3</v>
      </c>
      <c r="Q3266" s="1">
        <v>1.54E-2</v>
      </c>
      <c r="R3266" s="1">
        <v>1.3599999999999999E-2</v>
      </c>
      <c r="V3266" s="1">
        <v>0.495</v>
      </c>
      <c r="W3266" s="1">
        <v>0.49790000000000001</v>
      </c>
    </row>
    <row r="3267" spans="1:23" x14ac:dyDescent="0.25">
      <c r="A3267" t="s">
        <v>198</v>
      </c>
      <c r="B3267" t="s">
        <v>350</v>
      </c>
      <c r="C3267">
        <v>63</v>
      </c>
      <c r="D3267" t="s">
        <v>201</v>
      </c>
      <c r="E3267">
        <v>2631</v>
      </c>
      <c r="G3267" s="1">
        <v>1.47E-2</v>
      </c>
      <c r="H3267" s="1">
        <v>0.2334</v>
      </c>
      <c r="J3267" s="1">
        <v>0.109</v>
      </c>
      <c r="M3267" s="1">
        <v>0.2298</v>
      </c>
      <c r="O3267" s="1">
        <v>1.47E-2</v>
      </c>
      <c r="P3267" s="1">
        <v>2.7300000000000001E-2</v>
      </c>
      <c r="Q3267" s="1">
        <v>2.7300000000000001E-2</v>
      </c>
      <c r="R3267" s="1">
        <v>2.7300000000000001E-2</v>
      </c>
      <c r="V3267" s="1">
        <v>0.51100000000000001</v>
      </c>
      <c r="W3267" s="1">
        <v>0.45429999999999998</v>
      </c>
    </row>
    <row r="3268" spans="1:23" x14ac:dyDescent="0.25">
      <c r="A3268" t="s">
        <v>198</v>
      </c>
      <c r="B3268" t="s">
        <v>348</v>
      </c>
      <c r="C3268">
        <v>62</v>
      </c>
      <c r="D3268" t="s">
        <v>201</v>
      </c>
      <c r="E3268">
        <v>2631</v>
      </c>
      <c r="F3268" s="1">
        <v>0.1474</v>
      </c>
      <c r="H3268" s="1">
        <v>0.43419999999999997</v>
      </c>
      <c r="J3268" s="1">
        <v>0.10199999999999999</v>
      </c>
      <c r="M3268" s="1">
        <v>0.28999999999999998</v>
      </c>
      <c r="Q3268" s="1">
        <v>4.7999999999999996E-3</v>
      </c>
      <c r="T3268" s="1">
        <v>1.7399999999999999E-2</v>
      </c>
      <c r="V3268" s="1">
        <v>0.17399999999999999</v>
      </c>
      <c r="W3268" s="1">
        <v>0.1613</v>
      </c>
    </row>
    <row r="3269" spans="1:23" x14ac:dyDescent="0.25">
      <c r="A3269" t="s">
        <v>198</v>
      </c>
      <c r="B3269" t="s">
        <v>348</v>
      </c>
      <c r="C3269">
        <v>96</v>
      </c>
      <c r="D3269" t="s">
        <v>202</v>
      </c>
      <c r="E3269">
        <v>2631</v>
      </c>
      <c r="F3269" s="1">
        <v>3.4299999999999997E-2</v>
      </c>
      <c r="H3269" s="1">
        <v>0.41499999999999998</v>
      </c>
      <c r="J3269" s="1">
        <v>8.1100000000000005E-2</v>
      </c>
      <c r="M3269" s="1">
        <v>0.34410000000000002</v>
      </c>
      <c r="R3269" s="1">
        <v>8.0000000000000002E-3</v>
      </c>
      <c r="V3269" s="1">
        <v>0.22070000000000001</v>
      </c>
      <c r="W3269" s="1">
        <v>0.21629999999999999</v>
      </c>
    </row>
    <row r="3270" spans="1:23" x14ac:dyDescent="0.25">
      <c r="A3270" t="s">
        <v>203</v>
      </c>
      <c r="B3270" t="s">
        <v>349</v>
      </c>
      <c r="C3270">
        <v>171</v>
      </c>
      <c r="D3270" t="s">
        <v>199</v>
      </c>
      <c r="E3270">
        <v>2631</v>
      </c>
      <c r="F3270" s="1">
        <v>0.15720000000000001</v>
      </c>
      <c r="G3270" s="1">
        <v>6.3E-3</v>
      </c>
      <c r="H3270" s="1">
        <v>0.51039999999999996</v>
      </c>
      <c r="J3270" s="1">
        <v>2.1399999999999999E-2</v>
      </c>
      <c r="L3270" s="1">
        <v>2.7699999999999999E-2</v>
      </c>
      <c r="M3270" s="1">
        <v>0.12520000000000001</v>
      </c>
      <c r="P3270" s="1">
        <v>1.4200000000000001E-2</v>
      </c>
      <c r="Q3270" s="1">
        <v>4.5999999999999999E-2</v>
      </c>
      <c r="R3270" s="1">
        <v>1.9699999999999999E-2</v>
      </c>
      <c r="S3270" s="1">
        <v>4.4000000000000003E-3</v>
      </c>
      <c r="V3270" s="1">
        <v>0.7036</v>
      </c>
      <c r="W3270" s="1">
        <v>0.35809999999999997</v>
      </c>
    </row>
    <row r="3271" spans="1:23" x14ac:dyDescent="0.25">
      <c r="A3271" t="s">
        <v>203</v>
      </c>
      <c r="B3271" t="s">
        <v>348</v>
      </c>
      <c r="C3271">
        <v>42</v>
      </c>
      <c r="D3271" t="s">
        <v>199</v>
      </c>
      <c r="E3271">
        <v>2631</v>
      </c>
      <c r="H3271" s="1">
        <v>0.52710000000000001</v>
      </c>
      <c r="J3271" s="1">
        <v>3.9800000000000002E-2</v>
      </c>
      <c r="M3271" s="1">
        <v>0.20280000000000001</v>
      </c>
      <c r="N3271" s="1">
        <v>0.01</v>
      </c>
      <c r="Q3271" s="1">
        <v>1.9900000000000001E-2</v>
      </c>
      <c r="T3271" s="1">
        <v>6.3500000000000001E-2</v>
      </c>
      <c r="V3271" s="1">
        <v>0.45300000000000001</v>
      </c>
      <c r="W3271" s="1">
        <v>0.35570000000000002</v>
      </c>
    </row>
    <row r="3272" spans="1:23" x14ac:dyDescent="0.25">
      <c r="A3272" t="s">
        <v>203</v>
      </c>
      <c r="B3272" t="s">
        <v>350</v>
      </c>
      <c r="C3272">
        <v>306</v>
      </c>
      <c r="D3272" t="s">
        <v>199</v>
      </c>
      <c r="E3272">
        <v>2631</v>
      </c>
      <c r="F3272" s="1">
        <v>0.10920000000000001</v>
      </c>
      <c r="G3272" s="1">
        <v>1.5900000000000001E-2</v>
      </c>
      <c r="H3272" s="1">
        <v>0.58730000000000004</v>
      </c>
      <c r="J3272" s="1">
        <v>8.3900000000000002E-2</v>
      </c>
      <c r="L3272" s="1">
        <v>1.44E-2</v>
      </c>
      <c r="M3272" s="1">
        <v>3.39E-2</v>
      </c>
      <c r="N3272" s="1">
        <v>8.0000000000000004E-4</v>
      </c>
      <c r="O3272" s="1">
        <v>2.0999999999999999E-3</v>
      </c>
      <c r="P3272" s="1">
        <v>4.5699999999999998E-2</v>
      </c>
      <c r="Q3272" s="1">
        <v>0.27689999999999998</v>
      </c>
      <c r="R3272" s="1">
        <v>5.6399999999999999E-2</v>
      </c>
      <c r="S3272" s="1">
        <v>3.5000000000000001E-3</v>
      </c>
      <c r="U3272" s="1">
        <v>1.9E-3</v>
      </c>
      <c r="V3272" s="1">
        <v>0.7147</v>
      </c>
      <c r="W3272" s="1">
        <v>0.70709999999999995</v>
      </c>
    </row>
    <row r="3273" spans="1:23" x14ac:dyDescent="0.25">
      <c r="A3273" t="s">
        <v>203</v>
      </c>
      <c r="B3273" t="s">
        <v>348</v>
      </c>
      <c r="C3273">
        <v>300</v>
      </c>
      <c r="D3273" t="s">
        <v>200</v>
      </c>
      <c r="E3273">
        <v>2631</v>
      </c>
      <c r="F3273" s="1">
        <v>9.9199999999999997E-2</v>
      </c>
      <c r="H3273" s="1">
        <v>0.55269999999999997</v>
      </c>
      <c r="J3273" s="1">
        <v>0.13789999999999999</v>
      </c>
      <c r="K3273" s="1">
        <v>1.03E-2</v>
      </c>
      <c r="M3273" s="1">
        <v>0.16070000000000001</v>
      </c>
      <c r="P3273" s="1">
        <v>2.1100000000000001E-2</v>
      </c>
      <c r="Q3273" s="1">
        <v>8.9499999999999996E-2</v>
      </c>
      <c r="R3273" s="1">
        <v>3.49E-2</v>
      </c>
      <c r="S3273" s="1">
        <v>1.8E-3</v>
      </c>
      <c r="U3273" s="1">
        <v>2.2000000000000001E-3</v>
      </c>
      <c r="V3273" s="1">
        <v>0.2452</v>
      </c>
      <c r="W3273" s="1">
        <v>0.28399999999999997</v>
      </c>
    </row>
    <row r="3274" spans="1:23" x14ac:dyDescent="0.25">
      <c r="A3274" t="s">
        <v>203</v>
      </c>
      <c r="B3274" t="s">
        <v>349</v>
      </c>
      <c r="C3274">
        <v>108</v>
      </c>
      <c r="D3274" t="s">
        <v>200</v>
      </c>
      <c r="E3274">
        <v>2631</v>
      </c>
      <c r="F3274" s="1">
        <v>7.7100000000000002E-2</v>
      </c>
      <c r="H3274" s="1">
        <v>0.64190000000000003</v>
      </c>
      <c r="J3274" s="1">
        <v>8.7300000000000003E-2</v>
      </c>
      <c r="M3274" s="1">
        <v>0.13780000000000001</v>
      </c>
      <c r="O3274" s="1">
        <v>1.4E-3</v>
      </c>
      <c r="P3274" s="1">
        <v>3.6999999999999998E-2</v>
      </c>
      <c r="Q3274" s="1">
        <v>0.12939999999999999</v>
      </c>
      <c r="R3274" s="1">
        <v>7.6399999999999996E-2</v>
      </c>
      <c r="V3274" s="1">
        <v>0.4254</v>
      </c>
      <c r="W3274" s="1">
        <v>0.49819999999999998</v>
      </c>
    </row>
    <row r="3275" spans="1:23" x14ac:dyDescent="0.25">
      <c r="A3275" t="s">
        <v>203</v>
      </c>
      <c r="B3275" t="s">
        <v>350</v>
      </c>
      <c r="C3275">
        <v>94</v>
      </c>
      <c r="D3275" t="s">
        <v>200</v>
      </c>
      <c r="E3275">
        <v>2631</v>
      </c>
      <c r="H3275" s="1">
        <v>0.2072</v>
      </c>
      <c r="J3275" s="1">
        <v>7.4399999999999994E-2</v>
      </c>
      <c r="M3275" s="1">
        <v>8.2299999999999998E-2</v>
      </c>
      <c r="N3275" s="1">
        <v>3.3999999999999998E-3</v>
      </c>
      <c r="O3275" s="1">
        <v>3.09E-2</v>
      </c>
      <c r="P3275" s="1">
        <v>3.44E-2</v>
      </c>
      <c r="Q3275" s="1">
        <v>3.44E-2</v>
      </c>
      <c r="R3275" s="1">
        <v>6.1800000000000001E-2</v>
      </c>
      <c r="U3275" s="1">
        <v>1.55E-2</v>
      </c>
      <c r="V3275" s="1">
        <v>0.61280000000000001</v>
      </c>
      <c r="W3275" s="1">
        <v>0.59060000000000001</v>
      </c>
    </row>
    <row r="3276" spans="1:23" x14ac:dyDescent="0.25">
      <c r="A3276" t="s">
        <v>203</v>
      </c>
      <c r="B3276" t="s">
        <v>348</v>
      </c>
      <c r="C3276">
        <v>62</v>
      </c>
      <c r="D3276" t="s">
        <v>201</v>
      </c>
      <c r="E3276">
        <v>2631</v>
      </c>
      <c r="F3276" s="1">
        <v>0.3004</v>
      </c>
      <c r="G3276" s="1">
        <v>1.84E-2</v>
      </c>
      <c r="H3276" s="1">
        <v>0.60740000000000005</v>
      </c>
      <c r="J3276" s="1">
        <v>0.2036</v>
      </c>
      <c r="M3276" s="1">
        <v>0.13039999999999999</v>
      </c>
      <c r="Q3276" s="1">
        <v>6.2E-2</v>
      </c>
      <c r="R3276" s="1">
        <v>6.4999999999999997E-3</v>
      </c>
      <c r="V3276" s="1">
        <v>0.128</v>
      </c>
      <c r="W3276" s="1">
        <v>0.12280000000000001</v>
      </c>
    </row>
    <row r="3277" spans="1:23" x14ac:dyDescent="0.25">
      <c r="A3277" t="s">
        <v>203</v>
      </c>
      <c r="B3277" t="s">
        <v>349</v>
      </c>
      <c r="C3277">
        <v>147</v>
      </c>
      <c r="D3277" t="s">
        <v>201</v>
      </c>
      <c r="E3277">
        <v>2631</v>
      </c>
      <c r="F3277" s="1">
        <v>0.28520000000000001</v>
      </c>
      <c r="G3277" s="1">
        <v>2.3E-3</v>
      </c>
      <c r="H3277" s="1">
        <v>0.78010000000000002</v>
      </c>
      <c r="J3277" s="1">
        <v>3.5400000000000001E-2</v>
      </c>
      <c r="M3277" s="1">
        <v>6.9199999999999998E-2</v>
      </c>
      <c r="P3277" s="1">
        <v>2.7E-2</v>
      </c>
      <c r="Q3277" s="1">
        <v>7.0400000000000004E-2</v>
      </c>
      <c r="R3277" s="1">
        <v>2.5600000000000001E-2</v>
      </c>
      <c r="S3277" s="1">
        <v>1.03E-2</v>
      </c>
      <c r="U3277" s="1">
        <v>1.7299999999999999E-2</v>
      </c>
      <c r="V3277" s="1">
        <v>0.43080000000000002</v>
      </c>
      <c r="W3277" s="1">
        <v>0.39550000000000002</v>
      </c>
    </row>
    <row r="3278" spans="1:23" x14ac:dyDescent="0.25">
      <c r="A3278" t="s">
        <v>203</v>
      </c>
      <c r="B3278" t="s">
        <v>350</v>
      </c>
      <c r="C3278">
        <v>105</v>
      </c>
      <c r="D3278" t="s">
        <v>201</v>
      </c>
      <c r="E3278">
        <v>2631</v>
      </c>
      <c r="F3278" s="1">
        <v>2.6200000000000001E-2</v>
      </c>
      <c r="G3278" s="1">
        <v>2.8E-3</v>
      </c>
      <c r="H3278" s="1">
        <v>0.20780000000000001</v>
      </c>
      <c r="J3278" s="1">
        <v>0.1923</v>
      </c>
      <c r="M3278" s="1">
        <v>9.5200000000000007E-2</v>
      </c>
      <c r="P3278" s="1">
        <v>4.07E-2</v>
      </c>
      <c r="Q3278" s="1">
        <v>4.2500000000000003E-2</v>
      </c>
      <c r="S3278" s="1">
        <v>1.6199999999999999E-2</v>
      </c>
      <c r="U3278" s="1">
        <v>2.8E-3</v>
      </c>
      <c r="V3278" s="1">
        <v>0.59130000000000005</v>
      </c>
      <c r="W3278" s="1">
        <v>0.58579999999999999</v>
      </c>
    </row>
    <row r="3279" spans="1:23" x14ac:dyDescent="0.25">
      <c r="A3279" t="s">
        <v>203</v>
      </c>
      <c r="B3279" t="s">
        <v>348</v>
      </c>
      <c r="C3279">
        <v>90</v>
      </c>
      <c r="D3279" t="s">
        <v>202</v>
      </c>
      <c r="E3279">
        <v>2631</v>
      </c>
      <c r="F3279" s="1">
        <v>2.5000000000000001E-2</v>
      </c>
      <c r="G3279" s="1">
        <v>9.5999999999999992E-3</v>
      </c>
      <c r="H3279" s="1">
        <v>0.4365</v>
      </c>
      <c r="I3279" s="1">
        <v>4.8999999999999998E-3</v>
      </c>
      <c r="J3279" s="1">
        <v>9.4600000000000004E-2</v>
      </c>
      <c r="M3279" s="1">
        <v>0.3856</v>
      </c>
      <c r="O3279" s="1">
        <v>3.7000000000000002E-3</v>
      </c>
      <c r="Q3279" s="1">
        <v>1.2500000000000001E-2</v>
      </c>
      <c r="R3279" s="1">
        <v>1.47E-2</v>
      </c>
      <c r="T3279" s="1">
        <v>1.0200000000000001E-2</v>
      </c>
      <c r="U3279" s="1">
        <v>1.9E-2</v>
      </c>
      <c r="V3279" s="1">
        <v>0.13869999999999999</v>
      </c>
      <c r="W3279" s="1">
        <v>7.3200000000000001E-2</v>
      </c>
    </row>
    <row r="3280" spans="1:23" x14ac:dyDescent="0.25">
      <c r="A3280" t="s">
        <v>204</v>
      </c>
      <c r="B3280" t="s">
        <v>204</v>
      </c>
      <c r="C3280">
        <v>2631</v>
      </c>
      <c r="D3280" t="s">
        <v>204</v>
      </c>
      <c r="E3280">
        <v>2631</v>
      </c>
      <c r="F3280" s="1">
        <v>8.5599999999999996E-2</v>
      </c>
      <c r="G3280" s="1">
        <v>3.0000000000000001E-3</v>
      </c>
      <c r="H3280" s="1">
        <v>0.46739999999999998</v>
      </c>
      <c r="I3280" s="1">
        <v>2E-3</v>
      </c>
      <c r="J3280" s="1">
        <v>0.10349999999999999</v>
      </c>
      <c r="K3280" s="1">
        <v>2.8E-3</v>
      </c>
      <c r="L3280" s="1">
        <v>2.3999999999999998E-3</v>
      </c>
      <c r="M3280" s="1">
        <v>0.1991</v>
      </c>
      <c r="N3280" s="1">
        <v>5.9999999999999995E-4</v>
      </c>
      <c r="O3280" s="1">
        <v>6.9999999999999999E-4</v>
      </c>
      <c r="P3280" s="1">
        <v>1.38E-2</v>
      </c>
      <c r="Q3280" s="1">
        <v>7.5399999999999995E-2</v>
      </c>
      <c r="R3280" s="1">
        <v>2.5000000000000001E-2</v>
      </c>
      <c r="S3280" s="1">
        <v>3.8999999999999998E-3</v>
      </c>
      <c r="T3280" s="1">
        <v>1.6999999999999999E-3</v>
      </c>
      <c r="U3280" s="1">
        <v>4.1999999999999997E-3</v>
      </c>
      <c r="V3280" s="1">
        <v>0.39140000000000003</v>
      </c>
      <c r="W3280" s="1">
        <v>0.37009999999999998</v>
      </c>
    </row>
    <row r="3282" spans="1:22" x14ac:dyDescent="0.25">
      <c r="A3282" t="s">
        <v>855</v>
      </c>
    </row>
    <row r="3283" spans="1:22" x14ac:dyDescent="0.25">
      <c r="A3283" t="s">
        <v>190</v>
      </c>
      <c r="B3283" t="s">
        <v>195</v>
      </c>
      <c r="C3283" t="s">
        <v>189</v>
      </c>
      <c r="D3283" t="s">
        <v>196</v>
      </c>
      <c r="E3283" t="s">
        <v>787</v>
      </c>
      <c r="F3283" t="s">
        <v>832</v>
      </c>
      <c r="G3283" t="s">
        <v>789</v>
      </c>
      <c r="H3283" t="s">
        <v>220</v>
      </c>
      <c r="I3283" t="s">
        <v>791</v>
      </c>
      <c r="J3283" t="s">
        <v>271</v>
      </c>
      <c r="K3283" t="s">
        <v>235</v>
      </c>
      <c r="L3283" t="s">
        <v>215</v>
      </c>
      <c r="M3283" t="s">
        <v>793</v>
      </c>
      <c r="N3283" t="s">
        <v>794</v>
      </c>
      <c r="O3283" t="s">
        <v>795</v>
      </c>
      <c r="P3283" t="s">
        <v>796</v>
      </c>
      <c r="Q3283" t="s">
        <v>856</v>
      </c>
      <c r="R3283" t="s">
        <v>797</v>
      </c>
      <c r="S3283" t="s">
        <v>798</v>
      </c>
      <c r="T3283" t="s">
        <v>800</v>
      </c>
      <c r="U3283" t="s">
        <v>801</v>
      </c>
    </row>
    <row r="3284" spans="1:22" x14ac:dyDescent="0.25">
      <c r="A3284" t="s">
        <v>198</v>
      </c>
      <c r="B3284">
        <v>81</v>
      </c>
      <c r="C3284" t="s">
        <v>197</v>
      </c>
      <c r="D3284">
        <v>2627</v>
      </c>
      <c r="H3284" s="1">
        <v>0.1249</v>
      </c>
      <c r="J3284" s="1">
        <v>0.46160000000000001</v>
      </c>
      <c r="O3284" s="1">
        <v>1.3899999999999999E-2</v>
      </c>
      <c r="P3284" s="1">
        <v>1.52E-2</v>
      </c>
      <c r="Q3284" s="1">
        <v>3.4000000000000002E-2</v>
      </c>
      <c r="T3284" s="1">
        <v>0.36680000000000001</v>
      </c>
      <c r="U3284" s="1">
        <v>0.3695</v>
      </c>
    </row>
    <row r="3285" spans="1:22" x14ac:dyDescent="0.25">
      <c r="A3285" t="s">
        <v>198</v>
      </c>
      <c r="B3285">
        <v>368</v>
      </c>
      <c r="C3285" t="s">
        <v>199</v>
      </c>
      <c r="D3285">
        <v>2627</v>
      </c>
      <c r="G3285" s="1">
        <v>2E-3</v>
      </c>
      <c r="H3285" s="1">
        <v>7.4800000000000005E-2</v>
      </c>
      <c r="J3285" s="1">
        <v>0.1179</v>
      </c>
      <c r="M3285" s="1">
        <v>5.4999999999999997E-3</v>
      </c>
      <c r="N3285" s="1">
        <v>3.3700000000000001E-2</v>
      </c>
      <c r="O3285" s="1">
        <v>4.1000000000000003E-3</v>
      </c>
      <c r="P3285" s="1">
        <v>6.13E-2</v>
      </c>
      <c r="Q3285" s="1">
        <v>5.3199999999999997E-2</v>
      </c>
      <c r="S3285" s="1">
        <v>2E-3</v>
      </c>
      <c r="T3285" s="1">
        <v>0.74790000000000001</v>
      </c>
      <c r="U3285" s="1">
        <v>0.69799999999999995</v>
      </c>
    </row>
    <row r="3286" spans="1:22" x14ac:dyDescent="0.25">
      <c r="A3286" t="s">
        <v>198</v>
      </c>
      <c r="B3286">
        <v>387</v>
      </c>
      <c r="C3286" t="s">
        <v>200</v>
      </c>
      <c r="D3286">
        <v>2627</v>
      </c>
      <c r="G3286" s="1">
        <v>7.4999999999999997E-3</v>
      </c>
      <c r="H3286" s="1">
        <v>0.16830000000000001</v>
      </c>
      <c r="I3286" s="1">
        <v>2.3E-3</v>
      </c>
      <c r="J3286" s="1">
        <v>0.33610000000000001</v>
      </c>
      <c r="L3286" s="1">
        <v>1.4E-3</v>
      </c>
      <c r="M3286" s="1">
        <v>1.52E-2</v>
      </c>
      <c r="N3286" s="1">
        <v>1.6000000000000001E-3</v>
      </c>
      <c r="O3286" s="1">
        <v>1.6999999999999999E-3</v>
      </c>
      <c r="P3286" s="1">
        <v>1.4200000000000001E-2</v>
      </c>
      <c r="Q3286" s="1">
        <v>3.0300000000000001E-2</v>
      </c>
      <c r="R3286" s="1">
        <v>4.4999999999999997E-3</v>
      </c>
      <c r="S3286" s="1">
        <v>1E-3</v>
      </c>
      <c r="T3286" s="1">
        <v>0.41210000000000002</v>
      </c>
      <c r="U3286" s="1">
        <v>0.439</v>
      </c>
    </row>
    <row r="3287" spans="1:22" x14ac:dyDescent="0.25">
      <c r="A3287" t="s">
        <v>198</v>
      </c>
      <c r="B3287">
        <v>255</v>
      </c>
      <c r="C3287" t="s">
        <v>201</v>
      </c>
      <c r="D3287">
        <v>2627</v>
      </c>
      <c r="E3287" s="1">
        <v>1.2999999999999999E-3</v>
      </c>
      <c r="H3287" s="1">
        <v>0.1333</v>
      </c>
      <c r="J3287" s="1">
        <v>0.26229999999999998</v>
      </c>
      <c r="M3287" s="1">
        <v>1.1900000000000001E-2</v>
      </c>
      <c r="N3287" s="1">
        <v>1.2999999999999999E-3</v>
      </c>
      <c r="O3287" s="1">
        <v>6.9999999999999999E-4</v>
      </c>
      <c r="P3287" s="1">
        <v>3.0800000000000001E-2</v>
      </c>
      <c r="Q3287" s="1">
        <v>2.1700000000000001E-2</v>
      </c>
      <c r="T3287" s="1">
        <v>0.55610000000000004</v>
      </c>
      <c r="U3287" s="1">
        <v>0.54590000000000005</v>
      </c>
    </row>
    <row r="3288" spans="1:22" x14ac:dyDescent="0.25">
      <c r="A3288" t="s">
        <v>198</v>
      </c>
      <c r="B3288">
        <v>96</v>
      </c>
      <c r="C3288" t="s">
        <v>202</v>
      </c>
      <c r="D3288">
        <v>2627</v>
      </c>
      <c r="H3288" s="1">
        <v>0.21659999999999999</v>
      </c>
      <c r="J3288" s="1">
        <v>0.38819999999999999</v>
      </c>
      <c r="N3288" s="1">
        <v>2.5000000000000001E-3</v>
      </c>
      <c r="P3288" s="1">
        <v>9.4999999999999998E-3</v>
      </c>
      <c r="Q3288" s="1">
        <v>3.0700000000000002E-2</v>
      </c>
      <c r="T3288" s="1">
        <v>0.32890000000000003</v>
      </c>
      <c r="U3288" s="1">
        <v>0.33090000000000003</v>
      </c>
    </row>
    <row r="3289" spans="1:22" x14ac:dyDescent="0.25">
      <c r="A3289" t="s">
        <v>203</v>
      </c>
      <c r="B3289">
        <v>529</v>
      </c>
      <c r="C3289" t="s">
        <v>199</v>
      </c>
      <c r="D3289">
        <v>2627</v>
      </c>
      <c r="E3289" s="1">
        <v>2.0999999999999999E-3</v>
      </c>
      <c r="F3289" s="1">
        <v>8.5000000000000006E-3</v>
      </c>
      <c r="H3289" s="1">
        <v>8.2000000000000003E-2</v>
      </c>
      <c r="I3289" s="1">
        <v>1E-4</v>
      </c>
      <c r="J3289" s="1">
        <v>8.3500000000000005E-2</v>
      </c>
      <c r="K3289" s="1">
        <v>1E-4</v>
      </c>
      <c r="L3289" s="1">
        <v>1.1999999999999999E-3</v>
      </c>
      <c r="M3289" s="1">
        <v>2.9899999999999999E-2</v>
      </c>
      <c r="N3289" s="1">
        <v>4.5699999999999998E-2</v>
      </c>
      <c r="O3289" s="1">
        <v>2.76E-2</v>
      </c>
      <c r="P3289" s="1">
        <v>2.4299999999999999E-2</v>
      </c>
      <c r="Q3289" s="1">
        <v>4.4699999999999997E-2</v>
      </c>
      <c r="R3289" s="1">
        <v>8.5000000000000006E-3</v>
      </c>
      <c r="S3289" s="1">
        <v>1.8599999999999998E-2</v>
      </c>
      <c r="T3289" s="1">
        <v>0.77200000000000002</v>
      </c>
      <c r="U3289" s="1">
        <v>0.81469999999999998</v>
      </c>
    </row>
    <row r="3290" spans="1:22" x14ac:dyDescent="0.25">
      <c r="A3290" t="s">
        <v>203</v>
      </c>
      <c r="B3290">
        <v>502</v>
      </c>
      <c r="C3290" t="s">
        <v>200</v>
      </c>
      <c r="D3290">
        <v>2627</v>
      </c>
      <c r="H3290" s="1">
        <v>6.8000000000000005E-2</v>
      </c>
      <c r="J3290" s="1">
        <v>0.33250000000000002</v>
      </c>
      <c r="K3290" s="1">
        <v>4.4000000000000003E-3</v>
      </c>
      <c r="M3290" s="1">
        <v>1.23E-2</v>
      </c>
      <c r="N3290" s="1">
        <v>1.1900000000000001E-2</v>
      </c>
      <c r="O3290" s="1">
        <v>3.0000000000000001E-3</v>
      </c>
      <c r="P3290" s="1">
        <v>3.3799999999999997E-2</v>
      </c>
      <c r="Q3290" s="1">
        <v>5.3999999999999999E-2</v>
      </c>
      <c r="R3290" s="1">
        <v>1.1999999999999999E-3</v>
      </c>
      <c r="S3290" s="1">
        <v>1.5699999999999999E-2</v>
      </c>
      <c r="T3290" s="1">
        <v>0.40679999999999999</v>
      </c>
      <c r="U3290" s="1">
        <v>0.55259999999999998</v>
      </c>
    </row>
    <row r="3291" spans="1:22" x14ac:dyDescent="0.25">
      <c r="A3291" t="s">
        <v>203</v>
      </c>
      <c r="B3291">
        <v>319</v>
      </c>
      <c r="C3291" t="s">
        <v>201</v>
      </c>
      <c r="D3291">
        <v>2627</v>
      </c>
      <c r="E3291" s="1">
        <v>1.9E-3</v>
      </c>
      <c r="F3291" s="1">
        <v>2.0000000000000001E-4</v>
      </c>
      <c r="G3291" s="1">
        <v>6.9999999999999999E-4</v>
      </c>
      <c r="H3291" s="1">
        <v>0.1187</v>
      </c>
      <c r="J3291" s="1">
        <v>0.155</v>
      </c>
      <c r="M3291" s="1">
        <v>2.5000000000000001E-2</v>
      </c>
      <c r="N3291" s="1">
        <v>1.5800000000000002E-2</v>
      </c>
      <c r="O3291" s="1">
        <v>8.8000000000000005E-3</v>
      </c>
      <c r="P3291" s="1">
        <v>0.1376</v>
      </c>
      <c r="Q3291" s="1">
        <v>7.5300000000000006E-2</v>
      </c>
      <c r="R3291" s="1">
        <v>1.2500000000000001E-2</v>
      </c>
      <c r="S3291" s="1">
        <v>2.75E-2</v>
      </c>
      <c r="T3291" s="1">
        <v>0.59570000000000001</v>
      </c>
      <c r="U3291" s="1">
        <v>0.59540000000000004</v>
      </c>
    </row>
    <row r="3292" spans="1:22" x14ac:dyDescent="0.25">
      <c r="A3292" t="s">
        <v>203</v>
      </c>
      <c r="B3292">
        <v>90</v>
      </c>
      <c r="C3292" t="s">
        <v>202</v>
      </c>
      <c r="D3292">
        <v>2627</v>
      </c>
      <c r="F3292" s="1">
        <v>3.7000000000000002E-3</v>
      </c>
      <c r="G3292" s="1">
        <v>4.8999999999999998E-3</v>
      </c>
      <c r="H3292" s="1">
        <v>7.9600000000000004E-2</v>
      </c>
      <c r="I3292" s="1">
        <v>1.8499999999999999E-2</v>
      </c>
      <c r="J3292" s="1">
        <v>0.56910000000000005</v>
      </c>
      <c r="N3292" s="1">
        <v>3.5099999999999999E-2</v>
      </c>
      <c r="P3292" s="1">
        <v>3.7499999999999999E-2</v>
      </c>
      <c r="Q3292" s="1">
        <v>8.72E-2</v>
      </c>
      <c r="R3292" s="1">
        <v>3.7000000000000002E-3</v>
      </c>
      <c r="S3292" s="1">
        <v>1.4E-2</v>
      </c>
      <c r="T3292" s="1">
        <v>0.17979999999999999</v>
      </c>
      <c r="U3292" s="1">
        <v>0.2233</v>
      </c>
    </row>
    <row r="3293" spans="1:22" x14ac:dyDescent="0.25">
      <c r="A3293" t="s">
        <v>204</v>
      </c>
      <c r="B3293">
        <v>2627</v>
      </c>
      <c r="C3293" t="s">
        <v>204</v>
      </c>
      <c r="D3293">
        <v>2627</v>
      </c>
      <c r="E3293" s="1">
        <v>4.0000000000000002E-4</v>
      </c>
      <c r="F3293" s="1">
        <v>1.2999999999999999E-3</v>
      </c>
      <c r="G3293" s="1">
        <v>1.5E-3</v>
      </c>
      <c r="H3293" s="1">
        <v>0.1074</v>
      </c>
      <c r="I3293" s="1">
        <v>1.1999999999999999E-3</v>
      </c>
      <c r="J3293" s="1">
        <v>0.28599999999999998</v>
      </c>
      <c r="K3293" s="1">
        <v>1.4E-3</v>
      </c>
      <c r="L3293" s="1">
        <v>2.9999999999999997E-4</v>
      </c>
      <c r="M3293" s="1">
        <v>1.2200000000000001E-2</v>
      </c>
      <c r="N3293" s="1">
        <v>1.7000000000000001E-2</v>
      </c>
      <c r="O3293" s="1">
        <v>6.7000000000000002E-3</v>
      </c>
      <c r="P3293" s="1">
        <v>3.5700000000000003E-2</v>
      </c>
      <c r="Q3293" s="1">
        <v>4.7500000000000001E-2</v>
      </c>
      <c r="R3293" s="1">
        <v>2.8999999999999998E-3</v>
      </c>
      <c r="S3293" s="1">
        <v>9.7999999999999997E-3</v>
      </c>
      <c r="T3293" s="1">
        <v>0.49390000000000001</v>
      </c>
      <c r="U3293" s="1">
        <v>0.54349999999999998</v>
      </c>
    </row>
    <row r="3295" spans="1:22" x14ac:dyDescent="0.25">
      <c r="A3295" t="s">
        <v>857</v>
      </c>
    </row>
    <row r="3296" spans="1:22" x14ac:dyDescent="0.25">
      <c r="A3296" t="s">
        <v>190</v>
      </c>
      <c r="B3296" t="s">
        <v>206</v>
      </c>
      <c r="C3296" t="s">
        <v>195</v>
      </c>
      <c r="D3296" t="s">
        <v>189</v>
      </c>
      <c r="E3296" t="s">
        <v>196</v>
      </c>
      <c r="F3296" t="s">
        <v>787</v>
      </c>
      <c r="G3296" t="s">
        <v>832</v>
      </c>
      <c r="H3296" t="s">
        <v>789</v>
      </c>
      <c r="I3296" t="s">
        <v>220</v>
      </c>
      <c r="J3296" t="s">
        <v>791</v>
      </c>
      <c r="K3296" t="s">
        <v>271</v>
      </c>
      <c r="L3296" t="s">
        <v>235</v>
      </c>
      <c r="M3296" t="s">
        <v>215</v>
      </c>
      <c r="N3296" t="s">
        <v>793</v>
      </c>
      <c r="O3296" t="s">
        <v>794</v>
      </c>
      <c r="P3296" t="s">
        <v>795</v>
      </c>
      <c r="Q3296" t="s">
        <v>796</v>
      </c>
      <c r="R3296" t="s">
        <v>856</v>
      </c>
      <c r="S3296" t="s">
        <v>797</v>
      </c>
      <c r="T3296" t="s">
        <v>798</v>
      </c>
      <c r="U3296" t="s">
        <v>800</v>
      </c>
      <c r="V3296" t="s">
        <v>801</v>
      </c>
    </row>
    <row r="3297" spans="1:22" s="29" customFormat="1" x14ac:dyDescent="0.25">
      <c r="A3297" s="29" t="s">
        <v>198</v>
      </c>
      <c r="B3297" s="29" t="s">
        <v>209</v>
      </c>
      <c r="C3297" s="29">
        <v>20</v>
      </c>
      <c r="D3297" s="29" t="s">
        <v>197</v>
      </c>
      <c r="E3297" s="29">
        <v>2627</v>
      </c>
      <c r="I3297" s="30">
        <v>8.2199999999999995E-2</v>
      </c>
      <c r="K3297" s="30">
        <v>0.58260000000000001</v>
      </c>
      <c r="Q3297" s="30">
        <v>2.9000000000000001E-2</v>
      </c>
      <c r="R3297" s="30">
        <v>2.9000000000000001E-2</v>
      </c>
      <c r="U3297" s="30">
        <v>0.30620000000000003</v>
      </c>
      <c r="V3297" s="30">
        <v>0.30620000000000003</v>
      </c>
    </row>
    <row r="3298" spans="1:22" x14ac:dyDescent="0.25">
      <c r="A3298" t="s">
        <v>198</v>
      </c>
      <c r="B3298" t="s">
        <v>210</v>
      </c>
      <c r="C3298">
        <v>61</v>
      </c>
      <c r="D3298" t="s">
        <v>197</v>
      </c>
      <c r="E3298">
        <v>2627</v>
      </c>
      <c r="I3298" s="1">
        <v>0.1401</v>
      </c>
      <c r="K3298" s="1">
        <v>0.41870000000000002</v>
      </c>
      <c r="P3298" s="1">
        <v>1.89E-2</v>
      </c>
      <c r="Q3298" s="1">
        <v>1.03E-2</v>
      </c>
      <c r="R3298" s="1">
        <v>3.5700000000000003E-2</v>
      </c>
      <c r="U3298" s="1">
        <v>0.38829999999999998</v>
      </c>
      <c r="V3298" s="1">
        <v>0.39200000000000002</v>
      </c>
    </row>
    <row r="3299" spans="1:22" x14ac:dyDescent="0.25">
      <c r="A3299" t="s">
        <v>198</v>
      </c>
      <c r="B3299" t="s">
        <v>209</v>
      </c>
      <c r="C3299">
        <v>76</v>
      </c>
      <c r="D3299" t="s">
        <v>199</v>
      </c>
      <c r="E3299">
        <v>2627</v>
      </c>
      <c r="I3299" s="1">
        <v>0.1658</v>
      </c>
      <c r="K3299" s="1">
        <v>0.1547</v>
      </c>
      <c r="O3299" s="1">
        <v>1.8E-3</v>
      </c>
      <c r="P3299" s="1">
        <v>1.8E-3</v>
      </c>
      <c r="R3299" s="1">
        <v>8.0100000000000005E-2</v>
      </c>
      <c r="U3299" s="1">
        <v>0.57830000000000004</v>
      </c>
      <c r="V3299" s="1">
        <v>0.56599999999999995</v>
      </c>
    </row>
    <row r="3300" spans="1:22" x14ac:dyDescent="0.25">
      <c r="A3300" t="s">
        <v>198</v>
      </c>
      <c r="B3300" t="s">
        <v>210</v>
      </c>
      <c r="C3300">
        <v>292</v>
      </c>
      <c r="D3300" t="s">
        <v>199</v>
      </c>
      <c r="E3300">
        <v>2627</v>
      </c>
      <c r="H3300" s="1">
        <v>2.5999999999999999E-3</v>
      </c>
      <c r="I3300" s="1">
        <v>4.58E-2</v>
      </c>
      <c r="K3300" s="1">
        <v>0.1062</v>
      </c>
      <c r="N3300" s="1">
        <v>7.1999999999999998E-3</v>
      </c>
      <c r="O3300" s="1">
        <v>4.3799999999999999E-2</v>
      </c>
      <c r="P3300" s="1">
        <v>4.8999999999999998E-3</v>
      </c>
      <c r="Q3300" s="1">
        <v>8.09E-2</v>
      </c>
      <c r="R3300" s="1">
        <v>4.4600000000000001E-2</v>
      </c>
      <c r="T3300" s="1">
        <v>2.5999999999999999E-3</v>
      </c>
      <c r="U3300" s="1">
        <v>0.80210000000000004</v>
      </c>
      <c r="V3300" s="1">
        <v>0.74009999999999998</v>
      </c>
    </row>
    <row r="3301" spans="1:22" x14ac:dyDescent="0.25">
      <c r="A3301" t="s">
        <v>198</v>
      </c>
      <c r="B3301" t="s">
        <v>210</v>
      </c>
      <c r="C3301">
        <v>312</v>
      </c>
      <c r="D3301" t="s">
        <v>200</v>
      </c>
      <c r="E3301">
        <v>2627</v>
      </c>
      <c r="H3301" s="1">
        <v>3.7000000000000002E-3</v>
      </c>
      <c r="I3301" s="1">
        <v>0.13739999999999999</v>
      </c>
      <c r="J3301" s="1">
        <v>2.8999999999999998E-3</v>
      </c>
      <c r="K3301" s="1">
        <v>0.34420000000000001</v>
      </c>
      <c r="M3301" s="1">
        <v>1.8E-3</v>
      </c>
      <c r="N3301" s="1">
        <v>7.6E-3</v>
      </c>
      <c r="O3301" s="1">
        <v>2E-3</v>
      </c>
      <c r="Q3301" s="1">
        <v>1.7999999999999999E-2</v>
      </c>
      <c r="R3301" s="1">
        <v>1.9199999999999998E-2</v>
      </c>
      <c r="S3301" s="1">
        <v>5.7000000000000002E-3</v>
      </c>
      <c r="T3301" s="1">
        <v>1.2999999999999999E-3</v>
      </c>
      <c r="U3301" s="1">
        <v>0.4425</v>
      </c>
      <c r="V3301" s="1">
        <v>0.45729999999999998</v>
      </c>
    </row>
    <row r="3302" spans="1:22" x14ac:dyDescent="0.25">
      <c r="A3302" t="s">
        <v>198</v>
      </c>
      <c r="B3302" t="s">
        <v>209</v>
      </c>
      <c r="C3302">
        <v>75</v>
      </c>
      <c r="D3302" t="s">
        <v>200</v>
      </c>
      <c r="E3302">
        <v>2627</v>
      </c>
      <c r="H3302" s="1">
        <v>2.18E-2</v>
      </c>
      <c r="I3302" s="1">
        <v>0.28399999999999997</v>
      </c>
      <c r="K3302" s="1">
        <v>0.30549999999999999</v>
      </c>
      <c r="N3302" s="1">
        <v>4.3700000000000003E-2</v>
      </c>
      <c r="P3302" s="1">
        <v>8.2000000000000007E-3</v>
      </c>
      <c r="R3302" s="1">
        <v>7.22E-2</v>
      </c>
      <c r="U3302" s="1">
        <v>0.29780000000000001</v>
      </c>
      <c r="V3302" s="1">
        <v>0.37</v>
      </c>
    </row>
    <row r="3303" spans="1:22" x14ac:dyDescent="0.25">
      <c r="A3303" t="s">
        <v>198</v>
      </c>
      <c r="B3303" t="s">
        <v>209</v>
      </c>
      <c r="C3303">
        <v>52</v>
      </c>
      <c r="D3303" t="s">
        <v>201</v>
      </c>
      <c r="E3303">
        <v>2627</v>
      </c>
      <c r="I3303" s="1">
        <v>0.1943</v>
      </c>
      <c r="K3303" s="1">
        <v>0.18010000000000001</v>
      </c>
      <c r="N3303" s="1">
        <v>6.4999999999999997E-3</v>
      </c>
      <c r="Q3303" s="1">
        <v>3.3500000000000002E-2</v>
      </c>
      <c r="R3303" s="1">
        <v>1.84E-2</v>
      </c>
      <c r="U3303" s="1">
        <v>0.56640000000000001</v>
      </c>
      <c r="V3303" s="1">
        <v>0.56879999999999997</v>
      </c>
    </row>
    <row r="3304" spans="1:22" x14ac:dyDescent="0.25">
      <c r="A3304" t="s">
        <v>198</v>
      </c>
      <c r="B3304" t="s">
        <v>210</v>
      </c>
      <c r="C3304">
        <v>203</v>
      </c>
      <c r="D3304" t="s">
        <v>201</v>
      </c>
      <c r="E3304">
        <v>2627</v>
      </c>
      <c r="F3304" s="1">
        <v>1.6000000000000001E-3</v>
      </c>
      <c r="I3304" s="1">
        <v>0.1186</v>
      </c>
      <c r="K3304" s="1">
        <v>0.28210000000000002</v>
      </c>
      <c r="N3304" s="1">
        <v>1.32E-2</v>
      </c>
      <c r="O3304" s="1">
        <v>1.6000000000000001E-3</v>
      </c>
      <c r="P3304" s="1">
        <v>8.0000000000000004E-4</v>
      </c>
      <c r="Q3304" s="1">
        <v>3.0200000000000001E-2</v>
      </c>
      <c r="R3304" s="1">
        <v>2.2499999999999999E-2</v>
      </c>
      <c r="U3304" s="1">
        <v>0.55359999999999998</v>
      </c>
      <c r="V3304" s="1">
        <v>0.54039999999999999</v>
      </c>
    </row>
    <row r="3305" spans="1:22" x14ac:dyDescent="0.25">
      <c r="A3305" t="s">
        <v>198</v>
      </c>
      <c r="B3305" t="s">
        <v>210</v>
      </c>
      <c r="C3305">
        <v>71</v>
      </c>
      <c r="D3305" t="s">
        <v>202</v>
      </c>
      <c r="E3305">
        <v>2627</v>
      </c>
      <c r="I3305" s="1">
        <v>0.2077</v>
      </c>
      <c r="K3305" s="1">
        <v>0.39760000000000001</v>
      </c>
      <c r="O3305" s="1">
        <v>3.5999999999999999E-3</v>
      </c>
      <c r="Q3305" s="1">
        <v>1.34E-2</v>
      </c>
      <c r="R3305" s="1">
        <v>2.0500000000000001E-2</v>
      </c>
      <c r="U3305" s="1">
        <v>0.33119999999999999</v>
      </c>
      <c r="V3305" s="1">
        <v>0.34029999999999999</v>
      </c>
    </row>
    <row r="3306" spans="1:22" s="29" customFormat="1" x14ac:dyDescent="0.25">
      <c r="A3306" s="29" t="s">
        <v>198</v>
      </c>
      <c r="B3306" s="29" t="s">
        <v>209</v>
      </c>
      <c r="C3306" s="29">
        <v>25</v>
      </c>
      <c r="D3306" s="29" t="s">
        <v>202</v>
      </c>
      <c r="E3306" s="29">
        <v>2627</v>
      </c>
      <c r="I3306" s="30">
        <v>0.2384</v>
      </c>
      <c r="K3306" s="30">
        <v>0.36520000000000002</v>
      </c>
      <c r="R3306" s="30">
        <v>5.57E-2</v>
      </c>
      <c r="U3306" s="30">
        <v>0.32319999999999999</v>
      </c>
      <c r="V3306" s="30">
        <v>0.308</v>
      </c>
    </row>
    <row r="3307" spans="1:22" x14ac:dyDescent="0.25">
      <c r="A3307" t="s">
        <v>203</v>
      </c>
      <c r="B3307" t="s">
        <v>209</v>
      </c>
      <c r="C3307">
        <v>126</v>
      </c>
      <c r="D3307" t="s">
        <v>199</v>
      </c>
      <c r="E3307">
        <v>2627</v>
      </c>
      <c r="F3307" s="1">
        <v>7.6E-3</v>
      </c>
      <c r="G3307" s="1">
        <v>3.1399999999999997E-2</v>
      </c>
      <c r="I3307" s="1">
        <v>9.4399999999999998E-2</v>
      </c>
      <c r="K3307" s="1">
        <v>5.0700000000000002E-2</v>
      </c>
      <c r="N3307" s="1">
        <v>3.6700000000000003E-2</v>
      </c>
      <c r="O3307" s="1">
        <v>9.4100000000000003E-2</v>
      </c>
      <c r="P3307" s="1">
        <v>3.5099999999999999E-2</v>
      </c>
      <c r="Q3307" s="1">
        <v>6.4000000000000003E-3</v>
      </c>
      <c r="R3307" s="1">
        <v>1.61E-2</v>
      </c>
      <c r="T3307" s="1">
        <v>4.1999999999999997E-3</v>
      </c>
      <c r="U3307" s="1">
        <v>0.84630000000000005</v>
      </c>
      <c r="V3307" s="1">
        <v>0.80989999999999995</v>
      </c>
    </row>
    <row r="3308" spans="1:22" x14ac:dyDescent="0.25">
      <c r="A3308" t="s">
        <v>203</v>
      </c>
      <c r="B3308" t="s">
        <v>210</v>
      </c>
      <c r="C3308">
        <v>403</v>
      </c>
      <c r="D3308" t="s">
        <v>199</v>
      </c>
      <c r="E3308">
        <v>2627</v>
      </c>
      <c r="I3308" s="1">
        <v>7.7499999999999999E-2</v>
      </c>
      <c r="J3308" s="1">
        <v>1E-4</v>
      </c>
      <c r="K3308" s="1">
        <v>9.5600000000000004E-2</v>
      </c>
      <c r="L3308" s="1">
        <v>1E-4</v>
      </c>
      <c r="M3308" s="1">
        <v>1.6000000000000001E-3</v>
      </c>
      <c r="N3308" s="1">
        <v>2.7400000000000001E-2</v>
      </c>
      <c r="O3308" s="1">
        <v>2.7799999999999998E-2</v>
      </c>
      <c r="P3308" s="1">
        <v>2.4799999999999999E-2</v>
      </c>
      <c r="Q3308" s="1">
        <v>3.09E-2</v>
      </c>
      <c r="R3308" s="1">
        <v>5.5199999999999999E-2</v>
      </c>
      <c r="S3308" s="1">
        <v>1.1599999999999999E-2</v>
      </c>
      <c r="T3308" s="1">
        <v>2.3900000000000001E-2</v>
      </c>
      <c r="U3308" s="1">
        <v>0.74450000000000005</v>
      </c>
      <c r="V3308" s="1">
        <v>0.81640000000000001</v>
      </c>
    </row>
    <row r="3309" spans="1:22" x14ac:dyDescent="0.25">
      <c r="A3309" t="s">
        <v>203</v>
      </c>
      <c r="B3309" t="s">
        <v>210</v>
      </c>
      <c r="C3309">
        <v>366</v>
      </c>
      <c r="D3309" t="s">
        <v>200</v>
      </c>
      <c r="E3309">
        <v>2627</v>
      </c>
      <c r="I3309" s="1">
        <v>8.4900000000000003E-2</v>
      </c>
      <c r="K3309" s="1">
        <v>0.31109999999999999</v>
      </c>
      <c r="L3309" s="1">
        <v>3.5000000000000001E-3</v>
      </c>
      <c r="N3309" s="1">
        <v>1.17E-2</v>
      </c>
      <c r="O3309" s="1">
        <v>1.52E-2</v>
      </c>
      <c r="P3309" s="1">
        <v>1.5E-3</v>
      </c>
      <c r="Q3309" s="1">
        <v>3.3300000000000003E-2</v>
      </c>
      <c r="R3309" s="1">
        <v>3.8899999999999997E-2</v>
      </c>
      <c r="S3309" s="1">
        <v>1.8E-3</v>
      </c>
      <c r="T3309" s="1">
        <v>7.4000000000000003E-3</v>
      </c>
      <c r="U3309" s="1">
        <v>0.41289999999999999</v>
      </c>
      <c r="V3309" s="1">
        <v>0.55279999999999996</v>
      </c>
    </row>
    <row r="3310" spans="1:22" x14ac:dyDescent="0.25">
      <c r="A3310" t="s">
        <v>203</v>
      </c>
      <c r="B3310" t="s">
        <v>209</v>
      </c>
      <c r="C3310">
        <v>136</v>
      </c>
      <c r="D3310" t="s">
        <v>200</v>
      </c>
      <c r="E3310">
        <v>2627</v>
      </c>
      <c r="I3310" s="1">
        <v>3.2000000000000001E-2</v>
      </c>
      <c r="K3310" s="1">
        <v>0.37809999999999999</v>
      </c>
      <c r="L3310" s="1">
        <v>6.1999999999999998E-3</v>
      </c>
      <c r="N3310" s="1">
        <v>1.3599999999999999E-2</v>
      </c>
      <c r="O3310" s="1">
        <v>4.8999999999999998E-3</v>
      </c>
      <c r="P3310" s="1">
        <v>6.1999999999999998E-3</v>
      </c>
      <c r="Q3310" s="1">
        <v>3.49E-2</v>
      </c>
      <c r="R3310" s="1">
        <v>8.5999999999999993E-2</v>
      </c>
      <c r="T3310" s="1">
        <v>3.3399999999999999E-2</v>
      </c>
      <c r="U3310" s="1">
        <v>0.39400000000000002</v>
      </c>
      <c r="V3310" s="1">
        <v>0.55210000000000004</v>
      </c>
    </row>
    <row r="3311" spans="1:22" x14ac:dyDescent="0.25">
      <c r="A3311" t="s">
        <v>203</v>
      </c>
      <c r="B3311" t="s">
        <v>209</v>
      </c>
      <c r="C3311">
        <v>86</v>
      </c>
      <c r="D3311" t="s">
        <v>201</v>
      </c>
      <c r="E3311">
        <v>2627</v>
      </c>
      <c r="G3311" s="1">
        <v>5.9999999999999995E-4</v>
      </c>
      <c r="H3311" s="1">
        <v>2.3E-3</v>
      </c>
      <c r="I3311" s="1">
        <v>0.22889999999999999</v>
      </c>
      <c r="K3311" s="1">
        <v>2.7300000000000001E-2</v>
      </c>
      <c r="N3311" s="1">
        <v>1.34E-2</v>
      </c>
      <c r="O3311" s="1">
        <v>4.4999999999999998E-2</v>
      </c>
      <c r="P3311" s="1">
        <v>2.2499999999999999E-2</v>
      </c>
      <c r="Q3311" s="1">
        <v>0.14940000000000001</v>
      </c>
      <c r="R3311" s="1">
        <v>0.1124</v>
      </c>
      <c r="S3311" s="1">
        <v>2.2499999999999999E-2</v>
      </c>
      <c r="T3311" s="1">
        <v>2.3099999999999999E-2</v>
      </c>
      <c r="U3311" s="1">
        <v>0.67949999999999999</v>
      </c>
      <c r="V3311" s="1">
        <v>0.62390000000000001</v>
      </c>
    </row>
    <row r="3312" spans="1:22" x14ac:dyDescent="0.25">
      <c r="A3312" t="s">
        <v>203</v>
      </c>
      <c r="B3312" t="s">
        <v>210</v>
      </c>
      <c r="C3312">
        <v>233</v>
      </c>
      <c r="D3312" t="s">
        <v>201</v>
      </c>
      <c r="E3312">
        <v>2627</v>
      </c>
      <c r="F3312" s="1">
        <v>2.7000000000000001E-3</v>
      </c>
      <c r="I3312" s="1">
        <v>6.93E-2</v>
      </c>
      <c r="K3312" s="1">
        <v>0.21229999999999999</v>
      </c>
      <c r="N3312" s="1">
        <v>3.0099999999999998E-2</v>
      </c>
      <c r="O3312" s="1">
        <v>2.7000000000000001E-3</v>
      </c>
      <c r="P3312" s="1">
        <v>2.7000000000000001E-3</v>
      </c>
      <c r="Q3312" s="1">
        <v>0.1323</v>
      </c>
      <c r="R3312" s="1">
        <v>5.8700000000000002E-2</v>
      </c>
      <c r="S3312" s="1">
        <v>8.0000000000000002E-3</v>
      </c>
      <c r="T3312" s="1">
        <v>2.9499999999999998E-2</v>
      </c>
      <c r="U3312" s="1">
        <v>0.55810000000000004</v>
      </c>
      <c r="V3312" s="1">
        <v>0.58260000000000001</v>
      </c>
    </row>
    <row r="3313" spans="1:22" s="29" customFormat="1" x14ac:dyDescent="0.25">
      <c r="A3313" s="29" t="s">
        <v>203</v>
      </c>
      <c r="B3313" s="29" t="s">
        <v>209</v>
      </c>
      <c r="C3313" s="29">
        <v>27</v>
      </c>
      <c r="D3313" s="29" t="s">
        <v>202</v>
      </c>
      <c r="E3313" s="29">
        <v>2627</v>
      </c>
      <c r="G3313" s="30">
        <v>1.35E-2</v>
      </c>
      <c r="I3313" s="30">
        <v>5.8500000000000003E-2</v>
      </c>
      <c r="K3313" s="30">
        <v>0.65380000000000005</v>
      </c>
      <c r="O3313" s="30">
        <v>3.1699999999999999E-2</v>
      </c>
      <c r="R3313" s="30">
        <v>3.1699999999999999E-2</v>
      </c>
      <c r="S3313" s="30">
        <v>1.35E-2</v>
      </c>
      <c r="T3313" s="30">
        <v>1.35E-2</v>
      </c>
      <c r="U3313" s="30">
        <v>0.1303</v>
      </c>
      <c r="V3313" s="30">
        <v>0.13370000000000001</v>
      </c>
    </row>
    <row r="3314" spans="1:22" x14ac:dyDescent="0.25">
      <c r="A3314" t="s">
        <v>203</v>
      </c>
      <c r="B3314" t="s">
        <v>210</v>
      </c>
      <c r="C3314">
        <v>63</v>
      </c>
      <c r="D3314" t="s">
        <v>202</v>
      </c>
      <c r="E3314">
        <v>2627</v>
      </c>
      <c r="H3314" s="1">
        <v>6.7999999999999996E-3</v>
      </c>
      <c r="I3314" s="1">
        <v>8.77E-2</v>
      </c>
      <c r="J3314" s="1">
        <v>2.5499999999999998E-2</v>
      </c>
      <c r="K3314" s="1">
        <v>0.53680000000000005</v>
      </c>
      <c r="O3314" s="1">
        <v>3.6400000000000002E-2</v>
      </c>
      <c r="Q3314" s="1">
        <v>5.1799999999999999E-2</v>
      </c>
      <c r="R3314" s="1">
        <v>0.1084</v>
      </c>
      <c r="T3314" s="1">
        <v>1.41E-2</v>
      </c>
      <c r="U3314" s="1">
        <v>0.19869999999999999</v>
      </c>
      <c r="V3314" s="1">
        <v>0.25750000000000001</v>
      </c>
    </row>
    <row r="3315" spans="1:22" x14ac:dyDescent="0.25">
      <c r="A3315" t="s">
        <v>204</v>
      </c>
      <c r="B3315" t="s">
        <v>204</v>
      </c>
      <c r="C3315">
        <v>2627</v>
      </c>
      <c r="D3315" t="s">
        <v>204</v>
      </c>
      <c r="E3315">
        <v>2627</v>
      </c>
      <c r="F3315" s="1">
        <v>4.0000000000000002E-4</v>
      </c>
      <c r="G3315" s="1">
        <v>1.2999999999999999E-3</v>
      </c>
      <c r="H3315" s="1">
        <v>1.5E-3</v>
      </c>
      <c r="I3315" s="1">
        <v>0.1074</v>
      </c>
      <c r="J3315" s="1">
        <v>1.1999999999999999E-3</v>
      </c>
      <c r="K3315" s="1">
        <v>0.28599999999999998</v>
      </c>
      <c r="L3315" s="1">
        <v>1.4E-3</v>
      </c>
      <c r="M3315" s="1">
        <v>2.9999999999999997E-4</v>
      </c>
      <c r="N3315" s="1">
        <v>1.2200000000000001E-2</v>
      </c>
      <c r="O3315" s="1">
        <v>1.7000000000000001E-2</v>
      </c>
      <c r="P3315" s="1">
        <v>6.7000000000000002E-3</v>
      </c>
      <c r="Q3315" s="1">
        <v>3.5700000000000003E-2</v>
      </c>
      <c r="R3315" s="1">
        <v>4.7500000000000001E-2</v>
      </c>
      <c r="S3315" s="1">
        <v>2.8999999999999998E-3</v>
      </c>
      <c r="T3315" s="1">
        <v>9.7999999999999997E-3</v>
      </c>
      <c r="U3315" s="1">
        <v>0.49390000000000001</v>
      </c>
      <c r="V3315" s="1">
        <v>0.54349999999999998</v>
      </c>
    </row>
    <row r="3317" spans="1:22" x14ac:dyDescent="0.25">
      <c r="A3317" t="s">
        <v>858</v>
      </c>
    </row>
    <row r="3318" spans="1:22" x14ac:dyDescent="0.25">
      <c r="A3318" t="s">
        <v>190</v>
      </c>
      <c r="B3318" t="s">
        <v>206</v>
      </c>
      <c r="C3318" t="s">
        <v>195</v>
      </c>
      <c r="D3318" t="s">
        <v>189</v>
      </c>
      <c r="E3318" t="s">
        <v>196</v>
      </c>
      <c r="F3318" t="s">
        <v>787</v>
      </c>
      <c r="G3318" t="s">
        <v>832</v>
      </c>
      <c r="H3318" t="s">
        <v>789</v>
      </c>
      <c r="I3318" t="s">
        <v>220</v>
      </c>
      <c r="J3318" t="s">
        <v>791</v>
      </c>
      <c r="K3318" t="s">
        <v>271</v>
      </c>
      <c r="L3318" t="s">
        <v>235</v>
      </c>
      <c r="M3318" t="s">
        <v>215</v>
      </c>
      <c r="N3318" t="s">
        <v>793</v>
      </c>
      <c r="O3318" t="s">
        <v>794</v>
      </c>
      <c r="P3318" t="s">
        <v>795</v>
      </c>
      <c r="Q3318" t="s">
        <v>796</v>
      </c>
      <c r="R3318" t="s">
        <v>856</v>
      </c>
      <c r="S3318" t="s">
        <v>797</v>
      </c>
      <c r="T3318" t="s">
        <v>798</v>
      </c>
      <c r="U3318" t="s">
        <v>800</v>
      </c>
      <c r="V3318" t="s">
        <v>801</v>
      </c>
    </row>
    <row r="3319" spans="1:22" x14ac:dyDescent="0.25">
      <c r="A3319" t="s">
        <v>198</v>
      </c>
      <c r="B3319" t="s">
        <v>859</v>
      </c>
      <c r="C3319">
        <v>31</v>
      </c>
      <c r="D3319" t="s">
        <v>197</v>
      </c>
      <c r="E3319">
        <v>2627</v>
      </c>
      <c r="K3319" s="1">
        <v>0.36990000000000001</v>
      </c>
      <c r="P3319" s="1">
        <v>3.7699999999999997E-2</v>
      </c>
      <c r="Q3319" s="1">
        <v>2.0500000000000001E-2</v>
      </c>
      <c r="R3319" s="1">
        <v>7.1300000000000002E-2</v>
      </c>
      <c r="U3319" s="1">
        <v>0.52439999999999998</v>
      </c>
      <c r="V3319" s="1">
        <v>0.56210000000000004</v>
      </c>
    </row>
    <row r="3320" spans="1:22" x14ac:dyDescent="0.25">
      <c r="A3320" t="s">
        <v>198</v>
      </c>
      <c r="B3320" t="s">
        <v>860</v>
      </c>
      <c r="C3320">
        <v>50</v>
      </c>
      <c r="D3320" t="s">
        <v>197</v>
      </c>
      <c r="E3320">
        <v>2627</v>
      </c>
      <c r="I3320" s="1">
        <v>0.19819999999999999</v>
      </c>
      <c r="K3320" s="1">
        <v>0.51539999999999997</v>
      </c>
      <c r="Q3320" s="1">
        <v>1.2E-2</v>
      </c>
      <c r="R3320" s="1">
        <v>1.2E-2</v>
      </c>
      <c r="U3320" s="1">
        <v>0.27429999999999999</v>
      </c>
      <c r="V3320" s="1">
        <v>0.25650000000000001</v>
      </c>
    </row>
    <row r="3321" spans="1:22" x14ac:dyDescent="0.25">
      <c r="A3321" t="s">
        <v>198</v>
      </c>
      <c r="B3321" t="s">
        <v>859</v>
      </c>
      <c r="C3321">
        <v>199</v>
      </c>
      <c r="D3321" t="s">
        <v>199</v>
      </c>
      <c r="E3321">
        <v>2627</v>
      </c>
      <c r="H3321" s="1">
        <v>4.7000000000000002E-3</v>
      </c>
      <c r="I3321" s="1">
        <v>2.7099999999999999E-2</v>
      </c>
      <c r="K3321" s="1">
        <v>0.15670000000000001</v>
      </c>
      <c r="N3321" s="1">
        <v>8.0999999999999996E-3</v>
      </c>
      <c r="O3321" s="1">
        <v>4.0899999999999999E-2</v>
      </c>
      <c r="P3321" s="1">
        <v>5.7999999999999996E-3</v>
      </c>
      <c r="Q3321" s="1">
        <v>8.9399999999999993E-2</v>
      </c>
      <c r="R3321" s="1">
        <v>5.7599999999999998E-2</v>
      </c>
      <c r="U3321" s="1">
        <v>0.74029999999999996</v>
      </c>
      <c r="V3321" s="1">
        <v>0.6774</v>
      </c>
    </row>
    <row r="3322" spans="1:22" x14ac:dyDescent="0.25">
      <c r="A3322" t="s">
        <v>198</v>
      </c>
      <c r="B3322" t="s">
        <v>860</v>
      </c>
      <c r="C3322">
        <v>169</v>
      </c>
      <c r="D3322" t="s">
        <v>199</v>
      </c>
      <c r="E3322">
        <v>2627</v>
      </c>
      <c r="I3322" s="1">
        <v>0.1094</v>
      </c>
      <c r="K3322" s="1">
        <v>8.9800000000000005E-2</v>
      </c>
      <c r="N3322" s="1">
        <v>3.5000000000000001E-3</v>
      </c>
      <c r="O3322" s="1">
        <v>2.8400000000000002E-2</v>
      </c>
      <c r="P3322" s="1">
        <v>2.8999999999999998E-3</v>
      </c>
      <c r="Q3322" s="1">
        <v>4.0899999999999999E-2</v>
      </c>
      <c r="R3322" s="1">
        <v>0.05</v>
      </c>
      <c r="T3322" s="1">
        <v>3.3999999999999998E-3</v>
      </c>
      <c r="U3322" s="1">
        <v>0.75349999999999995</v>
      </c>
      <c r="V3322" s="1">
        <v>0.71289999999999998</v>
      </c>
    </row>
    <row r="3323" spans="1:22" x14ac:dyDescent="0.25">
      <c r="A3323" t="s">
        <v>198</v>
      </c>
      <c r="B3323" t="s">
        <v>860</v>
      </c>
      <c r="C3323">
        <v>181</v>
      </c>
      <c r="D3323" t="s">
        <v>200</v>
      </c>
      <c r="E3323">
        <v>2627</v>
      </c>
      <c r="H3323" s="1">
        <v>6.8999999999999999E-3</v>
      </c>
      <c r="I3323" s="1">
        <v>0.32340000000000002</v>
      </c>
      <c r="K3323" s="1">
        <v>0.3261</v>
      </c>
      <c r="M3323" s="1">
        <v>3.3999999999999998E-3</v>
      </c>
      <c r="N3323" s="1">
        <v>2.0000000000000001E-4</v>
      </c>
      <c r="O3323" s="1">
        <v>3.8E-3</v>
      </c>
      <c r="R3323" s="1">
        <v>2.86E-2</v>
      </c>
      <c r="S3323" s="1">
        <v>1.0200000000000001E-2</v>
      </c>
      <c r="U3323" s="1">
        <v>0.24590000000000001</v>
      </c>
      <c r="V3323" s="1">
        <v>0.30109999999999998</v>
      </c>
    </row>
    <row r="3324" spans="1:22" x14ac:dyDescent="0.25">
      <c r="A3324" t="s">
        <v>198</v>
      </c>
      <c r="B3324" t="s">
        <v>859</v>
      </c>
      <c r="C3324">
        <v>206</v>
      </c>
      <c r="D3324" t="s">
        <v>200</v>
      </c>
      <c r="E3324">
        <v>2627</v>
      </c>
      <c r="H3324" s="1">
        <v>7.9000000000000008E-3</v>
      </c>
      <c r="I3324" s="1">
        <v>5.6000000000000001E-2</v>
      </c>
      <c r="J3324" s="1">
        <v>3.8999999999999998E-3</v>
      </c>
      <c r="K3324" s="1">
        <v>0.34329999999999999</v>
      </c>
      <c r="N3324" s="1">
        <v>2.5999999999999999E-2</v>
      </c>
      <c r="P3324" s="1">
        <v>3.0000000000000001E-3</v>
      </c>
      <c r="Q3324" s="1">
        <v>2.4500000000000001E-2</v>
      </c>
      <c r="R3324" s="1">
        <v>3.1600000000000003E-2</v>
      </c>
      <c r="S3324" s="1">
        <v>4.0000000000000002E-4</v>
      </c>
      <c r="T3324" s="1">
        <v>1.8E-3</v>
      </c>
      <c r="U3324" s="1">
        <v>0.5323</v>
      </c>
      <c r="V3324" s="1">
        <v>0.53879999999999995</v>
      </c>
    </row>
    <row r="3325" spans="1:22" x14ac:dyDescent="0.25">
      <c r="A3325" t="s">
        <v>198</v>
      </c>
      <c r="B3325" t="s">
        <v>859</v>
      </c>
      <c r="C3325">
        <v>151</v>
      </c>
      <c r="D3325" t="s">
        <v>201</v>
      </c>
      <c r="E3325">
        <v>2627</v>
      </c>
      <c r="F3325" s="1">
        <v>2E-3</v>
      </c>
      <c r="I3325" s="1">
        <v>4.9000000000000002E-2</v>
      </c>
      <c r="K3325" s="1">
        <v>0.30480000000000002</v>
      </c>
      <c r="N3325" s="1">
        <v>2E-3</v>
      </c>
      <c r="P3325" s="1">
        <v>1.1000000000000001E-3</v>
      </c>
      <c r="Q3325" s="1">
        <v>3.7900000000000003E-2</v>
      </c>
      <c r="R3325" s="1">
        <v>3.1899999999999998E-2</v>
      </c>
      <c r="U3325" s="1">
        <v>0.59099999999999997</v>
      </c>
      <c r="V3325" s="1">
        <v>0.58699999999999997</v>
      </c>
    </row>
    <row r="3326" spans="1:22" x14ac:dyDescent="0.25">
      <c r="A3326" t="s">
        <v>198</v>
      </c>
      <c r="B3326" t="s">
        <v>860</v>
      </c>
      <c r="C3326">
        <v>104</v>
      </c>
      <c r="D3326" t="s">
        <v>201</v>
      </c>
      <c r="E3326">
        <v>2627</v>
      </c>
      <c r="I3326" s="1">
        <v>0.2843</v>
      </c>
      <c r="K3326" s="1">
        <v>0.18629999999999999</v>
      </c>
      <c r="N3326" s="1">
        <v>2.98E-2</v>
      </c>
      <c r="O3326" s="1">
        <v>3.5000000000000001E-3</v>
      </c>
      <c r="Q3326" s="1">
        <v>1.8100000000000002E-2</v>
      </c>
      <c r="R3326" s="1">
        <v>3.5000000000000001E-3</v>
      </c>
      <c r="U3326" s="1">
        <v>0.49359999999999998</v>
      </c>
      <c r="V3326" s="1">
        <v>0.4723</v>
      </c>
    </row>
    <row r="3327" spans="1:22" x14ac:dyDescent="0.25">
      <c r="A3327" t="s">
        <v>198</v>
      </c>
      <c r="B3327" t="s">
        <v>860</v>
      </c>
      <c r="C3327">
        <v>56</v>
      </c>
      <c r="D3327" t="s">
        <v>202</v>
      </c>
      <c r="E3327">
        <v>2627</v>
      </c>
      <c r="I3327" s="1">
        <v>0.25159999999999999</v>
      </c>
      <c r="K3327" s="1">
        <v>0.41510000000000002</v>
      </c>
      <c r="Q3327" s="1">
        <v>1.7899999999999999E-2</v>
      </c>
      <c r="R3327" s="1">
        <v>4.8399999999999999E-2</v>
      </c>
      <c r="U3327" s="1">
        <v>0.24660000000000001</v>
      </c>
      <c r="V3327" s="1">
        <v>0.2311</v>
      </c>
    </row>
    <row r="3328" spans="1:22" x14ac:dyDescent="0.25">
      <c r="A3328" t="s">
        <v>198</v>
      </c>
      <c r="B3328" t="s">
        <v>859</v>
      </c>
      <c r="C3328">
        <v>40</v>
      </c>
      <c r="D3328" t="s">
        <v>202</v>
      </c>
      <c r="E3328">
        <v>2627</v>
      </c>
      <c r="I3328" s="1">
        <v>0.17730000000000001</v>
      </c>
      <c r="K3328" s="1">
        <v>0.35809999999999997</v>
      </c>
      <c r="O3328" s="1">
        <v>5.4000000000000003E-3</v>
      </c>
      <c r="R3328" s="1">
        <v>1.0800000000000001E-2</v>
      </c>
      <c r="U3328" s="1">
        <v>0.42149999999999999</v>
      </c>
      <c r="V3328" s="1">
        <v>0.44309999999999999</v>
      </c>
    </row>
    <row r="3329" spans="1:22" x14ac:dyDescent="0.25">
      <c r="A3329" t="s">
        <v>203</v>
      </c>
      <c r="B3329" t="s">
        <v>859</v>
      </c>
      <c r="C3329">
        <v>274</v>
      </c>
      <c r="D3329" t="s">
        <v>199</v>
      </c>
      <c r="E3329">
        <v>2627</v>
      </c>
      <c r="I3329" s="1">
        <v>3.8E-3</v>
      </c>
      <c r="J3329" s="1">
        <v>2.0000000000000001E-4</v>
      </c>
      <c r="K3329" s="1">
        <v>9.8599999999999993E-2</v>
      </c>
      <c r="L3329" s="1">
        <v>2.0000000000000001E-4</v>
      </c>
      <c r="N3329" s="1">
        <v>8.8000000000000005E-3</v>
      </c>
      <c r="O3329" s="1">
        <v>3.49E-2</v>
      </c>
      <c r="P3329" s="1">
        <v>1.9099999999999999E-2</v>
      </c>
      <c r="Q3329" s="1">
        <v>2.86E-2</v>
      </c>
      <c r="R3329" s="1">
        <v>5.7500000000000002E-2</v>
      </c>
      <c r="S3329" s="1">
        <v>1.52E-2</v>
      </c>
      <c r="T3329" s="1">
        <v>3.0499999999999999E-2</v>
      </c>
      <c r="U3329" s="1">
        <v>0.82830000000000004</v>
      </c>
      <c r="V3329" s="1">
        <v>0.88300000000000001</v>
      </c>
    </row>
    <row r="3330" spans="1:22" x14ac:dyDescent="0.25">
      <c r="A3330" t="s">
        <v>203</v>
      </c>
      <c r="B3330" t="s">
        <v>860</v>
      </c>
      <c r="C3330">
        <v>255</v>
      </c>
      <c r="D3330" t="s">
        <v>199</v>
      </c>
      <c r="E3330">
        <v>2627</v>
      </c>
      <c r="F3330" s="1">
        <v>4.5999999999999999E-3</v>
      </c>
      <c r="G3330" s="1">
        <v>1.9E-2</v>
      </c>
      <c r="I3330" s="1">
        <v>0.18</v>
      </c>
      <c r="K3330" s="1">
        <v>6.4699999999999994E-2</v>
      </c>
      <c r="M3330" s="1">
        <v>2.5999999999999999E-3</v>
      </c>
      <c r="N3330" s="1">
        <v>5.6399999999999999E-2</v>
      </c>
      <c r="O3330" s="1">
        <v>5.91E-2</v>
      </c>
      <c r="P3330" s="1">
        <v>3.8100000000000002E-2</v>
      </c>
      <c r="Q3330" s="1">
        <v>1.8800000000000001E-2</v>
      </c>
      <c r="R3330" s="1">
        <v>2.87E-2</v>
      </c>
      <c r="T3330" s="1">
        <v>3.7000000000000002E-3</v>
      </c>
      <c r="U3330" s="1">
        <v>0.70150000000000001</v>
      </c>
      <c r="V3330" s="1">
        <v>0.72919999999999996</v>
      </c>
    </row>
    <row r="3331" spans="1:22" x14ac:dyDescent="0.25">
      <c r="A3331" t="s">
        <v>203</v>
      </c>
      <c r="B3331" t="s">
        <v>860</v>
      </c>
      <c r="C3331">
        <v>226</v>
      </c>
      <c r="D3331" t="s">
        <v>200</v>
      </c>
      <c r="E3331">
        <v>2627</v>
      </c>
      <c r="I3331" s="1">
        <v>0.13200000000000001</v>
      </c>
      <c r="K3331" s="1">
        <v>0.36609999999999998</v>
      </c>
      <c r="N3331" s="1">
        <v>5.1000000000000004E-3</v>
      </c>
      <c r="O3331" s="1">
        <v>1.0999999999999999E-2</v>
      </c>
      <c r="P3331" s="1">
        <v>3.2000000000000002E-3</v>
      </c>
      <c r="Q3331" s="1">
        <v>1.5900000000000001E-2</v>
      </c>
      <c r="R3331" s="1">
        <v>3.1600000000000003E-2</v>
      </c>
      <c r="T3331" s="1">
        <v>2.5600000000000001E-2</v>
      </c>
      <c r="U3331" s="1">
        <v>0.32029999999999997</v>
      </c>
      <c r="V3331" s="1">
        <v>0.4753</v>
      </c>
    </row>
    <row r="3332" spans="1:22" x14ac:dyDescent="0.25">
      <c r="A3332" t="s">
        <v>203</v>
      </c>
      <c r="B3332" t="s">
        <v>859</v>
      </c>
      <c r="C3332">
        <v>276</v>
      </c>
      <c r="D3332" t="s">
        <v>200</v>
      </c>
      <c r="E3332">
        <v>2627</v>
      </c>
      <c r="I3332" s="1">
        <v>6.6E-3</v>
      </c>
      <c r="K3332" s="1">
        <v>0.30030000000000001</v>
      </c>
      <c r="L3332" s="1">
        <v>8.5000000000000006E-3</v>
      </c>
      <c r="N3332" s="1">
        <v>1.9300000000000001E-2</v>
      </c>
      <c r="O3332" s="1">
        <v>1.2800000000000001E-2</v>
      </c>
      <c r="P3332" s="1">
        <v>2.8E-3</v>
      </c>
      <c r="Q3332" s="1">
        <v>5.0999999999999997E-2</v>
      </c>
      <c r="R3332" s="1">
        <v>7.5399999999999995E-2</v>
      </c>
      <c r="S3332" s="1">
        <v>2.3999999999999998E-3</v>
      </c>
      <c r="T3332" s="1">
        <v>6.3E-3</v>
      </c>
      <c r="U3332" s="1">
        <v>0.48970000000000002</v>
      </c>
      <c r="V3332" s="1">
        <v>0.62660000000000005</v>
      </c>
    </row>
    <row r="3333" spans="1:22" x14ac:dyDescent="0.25">
      <c r="A3333" t="s">
        <v>203</v>
      </c>
      <c r="B3333" t="s">
        <v>859</v>
      </c>
      <c r="C3333">
        <v>158</v>
      </c>
      <c r="D3333" t="s">
        <v>201</v>
      </c>
      <c r="E3333">
        <v>2627</v>
      </c>
      <c r="F3333" s="1">
        <v>4.0000000000000001E-3</v>
      </c>
      <c r="H3333" s="1">
        <v>1.5E-3</v>
      </c>
      <c r="I3333" s="1">
        <v>1.4999999999999999E-2</v>
      </c>
      <c r="K3333" s="1">
        <v>0.20760000000000001</v>
      </c>
      <c r="N3333" s="1">
        <v>2.75E-2</v>
      </c>
      <c r="O3333" s="1">
        <v>3.3300000000000003E-2</v>
      </c>
      <c r="P3333" s="1">
        <v>4.0000000000000001E-3</v>
      </c>
      <c r="Q3333" s="1">
        <v>0.1638</v>
      </c>
      <c r="R3333" s="1">
        <v>5.6000000000000001E-2</v>
      </c>
      <c r="S3333" s="1">
        <v>2.63E-2</v>
      </c>
      <c r="T3333" s="1">
        <v>1.9900000000000001E-2</v>
      </c>
      <c r="U3333" s="1">
        <v>0.65710000000000002</v>
      </c>
      <c r="V3333" s="1">
        <v>0.61699999999999999</v>
      </c>
    </row>
    <row r="3334" spans="1:22" x14ac:dyDescent="0.25">
      <c r="A3334" t="s">
        <v>203</v>
      </c>
      <c r="B3334" t="s">
        <v>860</v>
      </c>
      <c r="C3334">
        <v>161</v>
      </c>
      <c r="D3334" t="s">
        <v>201</v>
      </c>
      <c r="E3334">
        <v>2627</v>
      </c>
      <c r="G3334" s="1">
        <v>4.0000000000000002E-4</v>
      </c>
      <c r="I3334" s="1">
        <v>0.21249999999999999</v>
      </c>
      <c r="K3334" s="1">
        <v>0.1076</v>
      </c>
      <c r="N3334" s="1">
        <v>2.2700000000000001E-2</v>
      </c>
      <c r="P3334" s="1">
        <v>1.3299999999999999E-2</v>
      </c>
      <c r="Q3334" s="1">
        <v>0.1139</v>
      </c>
      <c r="R3334" s="1">
        <v>9.2799999999999994E-2</v>
      </c>
      <c r="T3334" s="1">
        <v>3.44E-2</v>
      </c>
      <c r="U3334" s="1">
        <v>0.54020000000000001</v>
      </c>
      <c r="V3334" s="1">
        <v>0.57589999999999997</v>
      </c>
    </row>
    <row r="3335" spans="1:22" x14ac:dyDescent="0.25">
      <c r="A3335" t="s">
        <v>203</v>
      </c>
      <c r="B3335" t="s">
        <v>859</v>
      </c>
      <c r="C3335">
        <v>50</v>
      </c>
      <c r="D3335" t="s">
        <v>202</v>
      </c>
      <c r="E3335">
        <v>2627</v>
      </c>
      <c r="G3335" s="1">
        <v>7.1000000000000004E-3</v>
      </c>
      <c r="H3335" s="1">
        <v>9.4999999999999998E-3</v>
      </c>
      <c r="I3335" s="1">
        <v>5.04E-2</v>
      </c>
      <c r="K3335" s="1">
        <v>0.61060000000000003</v>
      </c>
      <c r="O3335" s="1">
        <v>3.3500000000000002E-2</v>
      </c>
      <c r="Q3335" s="1">
        <v>7.1599999999999997E-2</v>
      </c>
      <c r="R3335" s="1">
        <v>4.2999999999999997E-2</v>
      </c>
      <c r="S3335" s="1">
        <v>7.1000000000000004E-3</v>
      </c>
      <c r="T3335" s="1">
        <v>7.1000000000000004E-3</v>
      </c>
      <c r="U3335" s="1">
        <v>0.1449</v>
      </c>
      <c r="V3335" s="1">
        <v>0.2006</v>
      </c>
    </row>
    <row r="3336" spans="1:22" x14ac:dyDescent="0.25">
      <c r="A3336" t="s">
        <v>203</v>
      </c>
      <c r="B3336" t="s">
        <v>860</v>
      </c>
      <c r="C3336">
        <v>40</v>
      </c>
      <c r="D3336" t="s">
        <v>202</v>
      </c>
      <c r="E3336">
        <v>2627</v>
      </c>
      <c r="I3336" s="1">
        <v>0.1116</v>
      </c>
      <c r="J3336" s="1">
        <v>3.8699999999999998E-2</v>
      </c>
      <c r="K3336" s="1">
        <v>0.52359999999999995</v>
      </c>
      <c r="O3336" s="1">
        <v>3.6799999999999999E-2</v>
      </c>
      <c r="R3336" s="1">
        <v>0.13569999999999999</v>
      </c>
      <c r="T3336" s="1">
        <v>2.1499999999999998E-2</v>
      </c>
      <c r="U3336" s="1">
        <v>0.218</v>
      </c>
      <c r="V3336" s="1">
        <v>0.2482</v>
      </c>
    </row>
    <row r="3337" spans="1:22" x14ac:dyDescent="0.25">
      <c r="A3337" t="s">
        <v>204</v>
      </c>
      <c r="B3337" t="s">
        <v>204</v>
      </c>
      <c r="C3337">
        <v>2627</v>
      </c>
      <c r="D3337" t="s">
        <v>204</v>
      </c>
      <c r="E3337">
        <v>2627</v>
      </c>
      <c r="F3337" s="1">
        <v>4.0000000000000002E-4</v>
      </c>
      <c r="G3337" s="1">
        <v>1.2999999999999999E-3</v>
      </c>
      <c r="H3337" s="1">
        <v>1.5E-3</v>
      </c>
      <c r="I3337" s="1">
        <v>0.1074</v>
      </c>
      <c r="J3337" s="1">
        <v>1.1999999999999999E-3</v>
      </c>
      <c r="K3337" s="1">
        <v>0.28599999999999998</v>
      </c>
      <c r="L3337" s="1">
        <v>1.4E-3</v>
      </c>
      <c r="M3337" s="1">
        <v>2.9999999999999997E-4</v>
      </c>
      <c r="N3337" s="1">
        <v>1.2200000000000001E-2</v>
      </c>
      <c r="O3337" s="1">
        <v>1.7000000000000001E-2</v>
      </c>
      <c r="P3337" s="1">
        <v>6.7000000000000002E-3</v>
      </c>
      <c r="Q3337" s="1">
        <v>3.5700000000000003E-2</v>
      </c>
      <c r="R3337" s="1">
        <v>4.7500000000000001E-2</v>
      </c>
      <c r="S3337" s="1">
        <v>2.8999999999999998E-3</v>
      </c>
      <c r="T3337" s="1">
        <v>9.7999999999999997E-3</v>
      </c>
      <c r="U3337" s="1">
        <v>0.49390000000000001</v>
      </c>
      <c r="V3337" s="1">
        <v>0.54349999999999998</v>
      </c>
    </row>
    <row r="3339" spans="1:22" x14ac:dyDescent="0.25">
      <c r="A3339" t="s">
        <v>861</v>
      </c>
    </row>
    <row r="3340" spans="1:22" x14ac:dyDescent="0.25">
      <c r="A3340" t="s">
        <v>190</v>
      </c>
      <c r="B3340" t="s">
        <v>206</v>
      </c>
      <c r="C3340" t="s">
        <v>195</v>
      </c>
      <c r="D3340" t="s">
        <v>189</v>
      </c>
      <c r="E3340" t="s">
        <v>196</v>
      </c>
      <c r="F3340" t="s">
        <v>787</v>
      </c>
      <c r="G3340" t="s">
        <v>832</v>
      </c>
      <c r="H3340" t="s">
        <v>789</v>
      </c>
      <c r="I3340" t="s">
        <v>220</v>
      </c>
      <c r="J3340" t="s">
        <v>791</v>
      </c>
      <c r="K3340" t="s">
        <v>271</v>
      </c>
      <c r="L3340" t="s">
        <v>235</v>
      </c>
      <c r="M3340" t="s">
        <v>215</v>
      </c>
      <c r="N3340" t="s">
        <v>793</v>
      </c>
      <c r="O3340" t="s">
        <v>794</v>
      </c>
      <c r="P3340" t="s">
        <v>795</v>
      </c>
      <c r="Q3340" t="s">
        <v>796</v>
      </c>
      <c r="R3340" t="s">
        <v>856</v>
      </c>
      <c r="S3340" t="s">
        <v>797</v>
      </c>
      <c r="T3340" t="s">
        <v>798</v>
      </c>
      <c r="U3340" t="s">
        <v>800</v>
      </c>
      <c r="V3340" t="s">
        <v>801</v>
      </c>
    </row>
    <row r="3341" spans="1:22" x14ac:dyDescent="0.25">
      <c r="A3341" t="s">
        <v>198</v>
      </c>
      <c r="B3341" t="s">
        <v>228</v>
      </c>
      <c r="C3341">
        <v>32</v>
      </c>
      <c r="D3341" t="s">
        <v>197</v>
      </c>
      <c r="E3341">
        <v>2627</v>
      </c>
      <c r="I3341" s="1">
        <v>1.7899999999999999E-2</v>
      </c>
      <c r="K3341" s="1">
        <v>0.70330000000000004</v>
      </c>
      <c r="R3341" s="1">
        <v>2.64E-2</v>
      </c>
      <c r="U3341" s="1">
        <v>0.25240000000000001</v>
      </c>
      <c r="V3341" s="1">
        <v>0.22600000000000001</v>
      </c>
    </row>
    <row r="3342" spans="1:22" x14ac:dyDescent="0.25">
      <c r="A3342" t="s">
        <v>198</v>
      </c>
      <c r="B3342" t="s">
        <v>229</v>
      </c>
      <c r="C3342">
        <v>49</v>
      </c>
      <c r="D3342" t="s">
        <v>197</v>
      </c>
      <c r="E3342">
        <v>2627</v>
      </c>
      <c r="I3342" s="1">
        <v>0.20369999999999999</v>
      </c>
      <c r="K3342" s="1">
        <v>0.28370000000000001</v>
      </c>
      <c r="P3342" s="1">
        <v>2.4199999999999999E-2</v>
      </c>
      <c r="Q3342" s="1">
        <v>2.63E-2</v>
      </c>
      <c r="R3342" s="1">
        <v>3.95E-2</v>
      </c>
      <c r="U3342" s="1">
        <v>0.45100000000000001</v>
      </c>
      <c r="V3342" s="1">
        <v>0.47520000000000001</v>
      </c>
    </row>
    <row r="3343" spans="1:22" x14ac:dyDescent="0.25">
      <c r="A3343" t="s">
        <v>198</v>
      </c>
      <c r="B3343" t="s">
        <v>228</v>
      </c>
      <c r="C3343">
        <v>145</v>
      </c>
      <c r="D3343" t="s">
        <v>199</v>
      </c>
      <c r="E3343">
        <v>2627</v>
      </c>
      <c r="H3343" s="1">
        <v>7.7999999999999996E-3</v>
      </c>
      <c r="I3343" s="1">
        <v>7.4399999999999994E-2</v>
      </c>
      <c r="K3343" s="1">
        <v>0.17019999999999999</v>
      </c>
      <c r="N3343" s="1">
        <v>8.3999999999999995E-3</v>
      </c>
      <c r="O3343" s="1">
        <v>6.7000000000000004E-2</v>
      </c>
      <c r="P3343" s="1">
        <v>1.2699999999999999E-2</v>
      </c>
      <c r="Q3343" s="1">
        <v>7.3000000000000001E-3</v>
      </c>
      <c r="R3343" s="1">
        <v>3.3E-3</v>
      </c>
      <c r="U3343" s="1">
        <v>0.73109999999999997</v>
      </c>
      <c r="V3343" s="1">
        <v>0.71709999999999996</v>
      </c>
    </row>
    <row r="3344" spans="1:22" x14ac:dyDescent="0.25">
      <c r="A3344" t="s">
        <v>198</v>
      </c>
      <c r="B3344" t="s">
        <v>229</v>
      </c>
      <c r="C3344">
        <v>213</v>
      </c>
      <c r="D3344" t="s">
        <v>199</v>
      </c>
      <c r="E3344">
        <v>2627</v>
      </c>
      <c r="I3344" s="1">
        <v>7.5300000000000006E-2</v>
      </c>
      <c r="K3344" s="1">
        <v>0.1009</v>
      </c>
      <c r="N3344" s="1">
        <v>2.8E-3</v>
      </c>
      <c r="O3344" s="1">
        <v>2.24E-2</v>
      </c>
      <c r="P3344" s="1">
        <v>1.1999999999999999E-3</v>
      </c>
      <c r="Q3344" s="1">
        <v>8.0299999999999996E-2</v>
      </c>
      <c r="R3344" s="1">
        <v>7.1099999999999997E-2</v>
      </c>
      <c r="T3344" s="1">
        <v>2.7000000000000001E-3</v>
      </c>
      <c r="U3344" s="1">
        <v>0.75209999999999999</v>
      </c>
      <c r="V3344" s="1">
        <v>0.68920000000000003</v>
      </c>
    </row>
    <row r="3345" spans="1:22" x14ac:dyDescent="0.25">
      <c r="A3345" t="s">
        <v>198</v>
      </c>
      <c r="B3345" t="s">
        <v>229</v>
      </c>
      <c r="C3345">
        <v>270</v>
      </c>
      <c r="D3345" t="s">
        <v>200</v>
      </c>
      <c r="E3345">
        <v>2627</v>
      </c>
      <c r="H3345" s="1">
        <v>9.7999999999999997E-3</v>
      </c>
      <c r="I3345" s="1">
        <v>0.1492</v>
      </c>
      <c r="J3345" s="1">
        <v>3.0000000000000001E-3</v>
      </c>
      <c r="K3345" s="1">
        <v>0.30980000000000002</v>
      </c>
      <c r="M3345" s="1">
        <v>1.9E-3</v>
      </c>
      <c r="N3345" s="1">
        <v>1.37E-2</v>
      </c>
      <c r="O3345" s="1">
        <v>1.1000000000000001E-3</v>
      </c>
      <c r="P3345" s="1">
        <v>2.3E-3</v>
      </c>
      <c r="Q3345" s="1">
        <v>1.8700000000000001E-2</v>
      </c>
      <c r="R3345" s="1">
        <v>3.9800000000000002E-2</v>
      </c>
      <c r="T3345" s="1">
        <v>1.1000000000000001E-3</v>
      </c>
      <c r="U3345" s="1">
        <v>0.45660000000000001</v>
      </c>
      <c r="V3345" s="1">
        <v>0.48980000000000001</v>
      </c>
    </row>
    <row r="3346" spans="1:22" x14ac:dyDescent="0.25">
      <c r="A3346" t="s">
        <v>198</v>
      </c>
      <c r="B3346" t="s">
        <v>228</v>
      </c>
      <c r="C3346">
        <v>112</v>
      </c>
      <c r="D3346" t="s">
        <v>200</v>
      </c>
      <c r="E3346">
        <v>2627</v>
      </c>
      <c r="I3346" s="1">
        <v>0.21490000000000001</v>
      </c>
      <c r="K3346" s="1">
        <v>0.43269999999999997</v>
      </c>
      <c r="N3346" s="1">
        <v>2.0299999999999999E-2</v>
      </c>
      <c r="O3346" s="1">
        <v>3.5000000000000001E-3</v>
      </c>
      <c r="S3346" s="1">
        <v>1.95E-2</v>
      </c>
      <c r="T3346" s="1">
        <v>1.1000000000000001E-3</v>
      </c>
      <c r="U3346" s="1">
        <v>0.26869999999999999</v>
      </c>
      <c r="V3346" s="1">
        <v>0.2757</v>
      </c>
    </row>
    <row r="3347" spans="1:22" x14ac:dyDescent="0.25">
      <c r="A3347" t="s">
        <v>198</v>
      </c>
      <c r="B3347" t="s">
        <v>228</v>
      </c>
      <c r="C3347">
        <v>95</v>
      </c>
      <c r="D3347" t="s">
        <v>201</v>
      </c>
      <c r="E3347">
        <v>2627</v>
      </c>
      <c r="I3347" s="1">
        <v>0.13089999999999999</v>
      </c>
      <c r="K3347" s="1">
        <v>0.44400000000000001</v>
      </c>
      <c r="N3347" s="1">
        <v>1.17E-2</v>
      </c>
      <c r="O3347" s="1">
        <v>5.7999999999999996E-3</v>
      </c>
      <c r="Q3347" s="1">
        <v>1.3599999999999999E-2</v>
      </c>
      <c r="R3347" s="1">
        <v>3.4799999999999998E-2</v>
      </c>
      <c r="U3347" s="1">
        <v>0.37169999999999997</v>
      </c>
      <c r="V3347" s="1">
        <v>0.35510000000000003</v>
      </c>
    </row>
    <row r="3348" spans="1:22" x14ac:dyDescent="0.25">
      <c r="A3348" t="s">
        <v>198</v>
      </c>
      <c r="B3348" t="s">
        <v>229</v>
      </c>
      <c r="C3348">
        <v>154</v>
      </c>
      <c r="D3348" t="s">
        <v>201</v>
      </c>
      <c r="E3348">
        <v>2627</v>
      </c>
      <c r="F3348" s="1">
        <v>1.6000000000000001E-3</v>
      </c>
      <c r="I3348" s="1">
        <v>0.1358</v>
      </c>
      <c r="K3348" s="1">
        <v>0.20880000000000001</v>
      </c>
      <c r="N3348" s="1">
        <v>1.2200000000000001E-2</v>
      </c>
      <c r="P3348" s="1">
        <v>8.9999999999999998E-4</v>
      </c>
      <c r="Q3348" s="1">
        <v>3.5999999999999997E-2</v>
      </c>
      <c r="R3348" s="1">
        <v>1.84E-2</v>
      </c>
      <c r="U3348" s="1">
        <v>0.6079</v>
      </c>
      <c r="V3348" s="1">
        <v>0.59930000000000005</v>
      </c>
    </row>
    <row r="3349" spans="1:22" s="29" customFormat="1" x14ac:dyDescent="0.25">
      <c r="A3349" s="29" t="s">
        <v>198</v>
      </c>
      <c r="B3349" s="29" t="s">
        <v>228</v>
      </c>
      <c r="C3349" s="29">
        <v>28</v>
      </c>
      <c r="D3349" s="29" t="s">
        <v>202</v>
      </c>
      <c r="E3349" s="29">
        <v>2627</v>
      </c>
      <c r="I3349" s="30">
        <v>0.308</v>
      </c>
      <c r="K3349" s="30">
        <v>0.4027</v>
      </c>
      <c r="O3349" s="30">
        <v>1.0699999999999999E-2</v>
      </c>
      <c r="R3349" s="30">
        <v>6.83E-2</v>
      </c>
      <c r="U3349" s="30">
        <v>0.21029999999999999</v>
      </c>
      <c r="V3349" s="30">
        <v>0.15939999999999999</v>
      </c>
    </row>
    <row r="3350" spans="1:22" x14ac:dyDescent="0.25">
      <c r="A3350" t="s">
        <v>198</v>
      </c>
      <c r="B3350" t="s">
        <v>229</v>
      </c>
      <c r="C3350">
        <v>68</v>
      </c>
      <c r="D3350" t="s">
        <v>202</v>
      </c>
      <c r="E3350">
        <v>2627</v>
      </c>
      <c r="I3350" s="1">
        <v>0.1883</v>
      </c>
      <c r="K3350" s="1">
        <v>0.38369999999999999</v>
      </c>
      <c r="Q3350" s="1">
        <v>1.24E-2</v>
      </c>
      <c r="R3350" s="1">
        <v>1.9099999999999999E-2</v>
      </c>
      <c r="U3350" s="1">
        <v>0.36559999999999998</v>
      </c>
      <c r="V3350" s="1">
        <v>0.38400000000000001</v>
      </c>
    </row>
    <row r="3351" spans="1:22" x14ac:dyDescent="0.25">
      <c r="A3351" t="s">
        <v>203</v>
      </c>
      <c r="B3351" t="s">
        <v>229</v>
      </c>
      <c r="C3351">
        <v>370</v>
      </c>
      <c r="D3351" t="s">
        <v>199</v>
      </c>
      <c r="E3351">
        <v>2627</v>
      </c>
      <c r="F3351" s="1">
        <v>2.3E-3</v>
      </c>
      <c r="G3351" s="1">
        <v>9.4999999999999998E-3</v>
      </c>
      <c r="I3351" s="1">
        <v>7.7299999999999994E-2</v>
      </c>
      <c r="J3351" s="1">
        <v>1E-4</v>
      </c>
      <c r="K3351" s="1">
        <v>6.0999999999999999E-2</v>
      </c>
      <c r="M3351" s="1">
        <v>1.2999999999999999E-3</v>
      </c>
      <c r="N3351" s="1">
        <v>2.81E-2</v>
      </c>
      <c r="O3351" s="1">
        <v>5.0299999999999997E-2</v>
      </c>
      <c r="P3351" s="1">
        <v>3.0800000000000001E-2</v>
      </c>
      <c r="Q3351" s="1">
        <v>2.5499999999999998E-2</v>
      </c>
      <c r="R3351" s="1">
        <v>3.9300000000000002E-2</v>
      </c>
      <c r="S3351" s="1">
        <v>9.4999999999999998E-3</v>
      </c>
      <c r="T3351" s="1">
        <v>1.9599999999999999E-2</v>
      </c>
      <c r="U3351" s="1">
        <v>0.79490000000000005</v>
      </c>
      <c r="V3351" s="1">
        <v>0.84750000000000003</v>
      </c>
    </row>
    <row r="3352" spans="1:22" x14ac:dyDescent="0.25">
      <c r="A3352" t="s">
        <v>203</v>
      </c>
      <c r="B3352" t="s">
        <v>228</v>
      </c>
      <c r="C3352">
        <v>149</v>
      </c>
      <c r="D3352" t="s">
        <v>199</v>
      </c>
      <c r="E3352">
        <v>2627</v>
      </c>
      <c r="I3352" s="1">
        <v>0.1249</v>
      </c>
      <c r="K3352" s="1">
        <v>0.27839999999999998</v>
      </c>
      <c r="L3352" s="1">
        <v>8.9999999999999998E-4</v>
      </c>
      <c r="N3352" s="1">
        <v>4.6699999999999998E-2</v>
      </c>
      <c r="O3352" s="1">
        <v>8.5000000000000006E-3</v>
      </c>
      <c r="P3352" s="1">
        <v>8.9999999999999998E-4</v>
      </c>
      <c r="Q3352" s="1">
        <v>1.52E-2</v>
      </c>
      <c r="R3352" s="1">
        <v>9.2600000000000002E-2</v>
      </c>
      <c r="T3352" s="1">
        <v>5.8999999999999999E-3</v>
      </c>
      <c r="U3352" s="1">
        <v>0.57340000000000002</v>
      </c>
      <c r="V3352" s="1">
        <v>0.52839999999999998</v>
      </c>
    </row>
    <row r="3353" spans="1:22" x14ac:dyDescent="0.25">
      <c r="A3353" t="s">
        <v>203</v>
      </c>
      <c r="B3353" t="s">
        <v>229</v>
      </c>
      <c r="C3353">
        <v>346</v>
      </c>
      <c r="D3353" t="s">
        <v>200</v>
      </c>
      <c r="E3353">
        <v>2627</v>
      </c>
      <c r="I3353" s="1">
        <v>7.46E-2</v>
      </c>
      <c r="K3353" s="1">
        <v>0.32840000000000003</v>
      </c>
      <c r="L3353" s="1">
        <v>4.8999999999999998E-3</v>
      </c>
      <c r="N3353" s="1">
        <v>5.8999999999999999E-3</v>
      </c>
      <c r="O3353" s="1">
        <v>1.12E-2</v>
      </c>
      <c r="P3353" s="1">
        <v>3.7000000000000002E-3</v>
      </c>
      <c r="Q3353" s="1">
        <v>3.0700000000000002E-2</v>
      </c>
      <c r="R3353" s="1">
        <v>3.5000000000000003E-2</v>
      </c>
      <c r="S3353" s="1">
        <v>1.5E-3</v>
      </c>
      <c r="T3353" s="1">
        <v>1.4800000000000001E-2</v>
      </c>
      <c r="U3353" s="1">
        <v>0.4078</v>
      </c>
      <c r="V3353" s="1">
        <v>0.57050000000000001</v>
      </c>
    </row>
    <row r="3354" spans="1:22" x14ac:dyDescent="0.25">
      <c r="A3354" t="s">
        <v>203</v>
      </c>
      <c r="B3354" t="s">
        <v>228</v>
      </c>
      <c r="C3354">
        <v>155</v>
      </c>
      <c r="D3354" t="s">
        <v>200</v>
      </c>
      <c r="E3354">
        <v>2627</v>
      </c>
      <c r="I3354" s="1">
        <v>4.02E-2</v>
      </c>
      <c r="K3354" s="1">
        <v>0.35</v>
      </c>
      <c r="L3354" s="1">
        <v>2.0999999999999999E-3</v>
      </c>
      <c r="N3354" s="1">
        <v>3.9199999999999999E-2</v>
      </c>
      <c r="O3354" s="1">
        <v>1.47E-2</v>
      </c>
      <c r="Q3354" s="1">
        <v>4.6899999999999997E-2</v>
      </c>
      <c r="R3354" s="1">
        <v>0.13320000000000001</v>
      </c>
      <c r="T3354" s="1">
        <v>1.9800000000000002E-2</v>
      </c>
      <c r="U3354" s="1">
        <v>0.40239999999999998</v>
      </c>
      <c r="V3354" s="1">
        <v>0.47739999999999999</v>
      </c>
    </row>
    <row r="3355" spans="1:22" x14ac:dyDescent="0.25">
      <c r="A3355" t="s">
        <v>203</v>
      </c>
      <c r="B3355" t="s">
        <v>229</v>
      </c>
      <c r="C3355">
        <v>136</v>
      </c>
      <c r="D3355" t="s">
        <v>201</v>
      </c>
      <c r="E3355">
        <v>2627</v>
      </c>
      <c r="H3355" s="1">
        <v>8.9999999999999998E-4</v>
      </c>
      <c r="I3355" s="1">
        <v>0.13089999999999999</v>
      </c>
      <c r="K3355" s="1">
        <v>0.1193</v>
      </c>
      <c r="N3355" s="1">
        <v>8.9999999999999993E-3</v>
      </c>
      <c r="O3355" s="1">
        <v>1.83E-2</v>
      </c>
      <c r="P3355" s="1">
        <v>9.1999999999999998E-3</v>
      </c>
      <c r="Q3355" s="1">
        <v>0.17499999999999999</v>
      </c>
      <c r="R3355" s="1">
        <v>9.7000000000000003E-2</v>
      </c>
      <c r="S3355" s="1">
        <v>9.1999999999999998E-3</v>
      </c>
      <c r="T3355" s="1">
        <v>2.93E-2</v>
      </c>
      <c r="U3355" s="1">
        <v>0.65780000000000005</v>
      </c>
      <c r="V3355" s="1">
        <v>0.60309999999999997</v>
      </c>
    </row>
    <row r="3356" spans="1:22" x14ac:dyDescent="0.25">
      <c r="A3356" t="s">
        <v>203</v>
      </c>
      <c r="B3356" t="s">
        <v>228</v>
      </c>
      <c r="C3356">
        <v>176</v>
      </c>
      <c r="D3356" t="s">
        <v>201</v>
      </c>
      <c r="E3356">
        <v>2627</v>
      </c>
      <c r="F3356" s="1">
        <v>7.9000000000000008E-3</v>
      </c>
      <c r="G3356" s="1">
        <v>8.0000000000000004E-4</v>
      </c>
      <c r="I3356" s="1">
        <v>8.0500000000000002E-2</v>
      </c>
      <c r="K3356" s="1">
        <v>0.26939999999999997</v>
      </c>
      <c r="N3356" s="1">
        <v>7.6100000000000001E-2</v>
      </c>
      <c r="O3356" s="1">
        <v>7.9000000000000008E-3</v>
      </c>
      <c r="P3356" s="1">
        <v>7.9000000000000008E-3</v>
      </c>
      <c r="Q3356" s="1">
        <v>2.0199999999999999E-2</v>
      </c>
      <c r="R3356" s="1">
        <v>7.3000000000000001E-3</v>
      </c>
      <c r="S3356" s="1">
        <v>2.3099999999999999E-2</v>
      </c>
      <c r="T3356" s="1">
        <v>2.12E-2</v>
      </c>
      <c r="U3356" s="1">
        <v>0.39600000000000002</v>
      </c>
      <c r="V3356" s="1">
        <v>0.56859999999999999</v>
      </c>
    </row>
    <row r="3357" spans="1:22" x14ac:dyDescent="0.25">
      <c r="A3357" t="s">
        <v>203</v>
      </c>
      <c r="B3357" t="s">
        <v>228</v>
      </c>
      <c r="C3357">
        <v>34</v>
      </c>
      <c r="D3357" t="s">
        <v>202</v>
      </c>
      <c r="E3357">
        <v>2627</v>
      </c>
      <c r="G3357" s="1">
        <v>1.32E-2</v>
      </c>
      <c r="I3357" s="1">
        <v>0.14099999999999999</v>
      </c>
      <c r="K3357" s="1">
        <v>0.55000000000000004</v>
      </c>
      <c r="O3357" s="1">
        <v>3.1E-2</v>
      </c>
      <c r="Q3357" s="1">
        <v>3.6200000000000003E-2</v>
      </c>
      <c r="R3357" s="1">
        <v>8.4699999999999998E-2</v>
      </c>
      <c r="S3357" s="1">
        <v>1.32E-2</v>
      </c>
      <c r="T3357" s="1">
        <v>1.32E-2</v>
      </c>
      <c r="U3357" s="1">
        <v>6.2100000000000002E-2</v>
      </c>
      <c r="V3357" s="1">
        <v>0.13070000000000001</v>
      </c>
    </row>
    <row r="3358" spans="1:22" x14ac:dyDescent="0.25">
      <c r="A3358" t="s">
        <v>203</v>
      </c>
      <c r="B3358" t="s">
        <v>229</v>
      </c>
      <c r="C3358">
        <v>56</v>
      </c>
      <c r="D3358" t="s">
        <v>202</v>
      </c>
      <c r="E3358">
        <v>2627</v>
      </c>
      <c r="H3358" s="1">
        <v>6.8999999999999999E-3</v>
      </c>
      <c r="I3358" s="1">
        <v>5.5399999999999998E-2</v>
      </c>
      <c r="J3358" s="1">
        <v>2.58E-2</v>
      </c>
      <c r="K3358" s="1">
        <v>0.57669999999999999</v>
      </c>
      <c r="O3358" s="1">
        <v>3.6700000000000003E-2</v>
      </c>
      <c r="Q3358" s="1">
        <v>3.7999999999999999E-2</v>
      </c>
      <c r="R3358" s="1">
        <v>8.8200000000000001E-2</v>
      </c>
      <c r="T3358" s="1">
        <v>1.43E-2</v>
      </c>
      <c r="U3358" s="1">
        <v>0.22620000000000001</v>
      </c>
      <c r="V3358" s="1">
        <v>0.25979999999999998</v>
      </c>
    </row>
    <row r="3359" spans="1:22" x14ac:dyDescent="0.25">
      <c r="A3359" t="s">
        <v>204</v>
      </c>
      <c r="B3359" t="s">
        <v>204</v>
      </c>
      <c r="C3359">
        <v>2627</v>
      </c>
      <c r="D3359" t="s">
        <v>204</v>
      </c>
      <c r="E3359">
        <v>2627</v>
      </c>
      <c r="F3359" s="1">
        <v>4.0000000000000002E-4</v>
      </c>
      <c r="G3359" s="1">
        <v>1.2999999999999999E-3</v>
      </c>
      <c r="H3359" s="1">
        <v>1.5E-3</v>
      </c>
      <c r="I3359" s="1">
        <v>0.1074</v>
      </c>
      <c r="J3359" s="1">
        <v>1.1999999999999999E-3</v>
      </c>
      <c r="K3359" s="1">
        <v>0.28599999999999998</v>
      </c>
      <c r="L3359" s="1">
        <v>1.4E-3</v>
      </c>
      <c r="M3359" s="1">
        <v>2.9999999999999997E-4</v>
      </c>
      <c r="N3359" s="1">
        <v>1.2200000000000001E-2</v>
      </c>
      <c r="O3359" s="1">
        <v>1.7000000000000001E-2</v>
      </c>
      <c r="P3359" s="1">
        <v>6.7000000000000002E-3</v>
      </c>
      <c r="Q3359" s="1">
        <v>3.5700000000000003E-2</v>
      </c>
      <c r="R3359" s="1">
        <v>4.7500000000000001E-2</v>
      </c>
      <c r="S3359" s="1">
        <v>2.8999999999999998E-3</v>
      </c>
      <c r="T3359" s="1">
        <v>9.7999999999999997E-3</v>
      </c>
      <c r="U3359" s="1">
        <v>0.49390000000000001</v>
      </c>
      <c r="V3359" s="1">
        <v>0.54349999999999998</v>
      </c>
    </row>
    <row r="3361" spans="1:22" x14ac:dyDescent="0.25">
      <c r="A3361" t="s">
        <v>862</v>
      </c>
    </row>
    <row r="3362" spans="1:22" x14ac:dyDescent="0.25">
      <c r="A3362" t="s">
        <v>190</v>
      </c>
      <c r="B3362" t="s">
        <v>206</v>
      </c>
      <c r="C3362" t="s">
        <v>195</v>
      </c>
      <c r="D3362" t="s">
        <v>189</v>
      </c>
      <c r="E3362" t="s">
        <v>196</v>
      </c>
      <c r="F3362" t="s">
        <v>787</v>
      </c>
      <c r="G3362" t="s">
        <v>832</v>
      </c>
      <c r="H3362" t="s">
        <v>789</v>
      </c>
      <c r="I3362" t="s">
        <v>220</v>
      </c>
      <c r="J3362" t="s">
        <v>791</v>
      </c>
      <c r="K3362" t="s">
        <v>271</v>
      </c>
      <c r="L3362" t="s">
        <v>235</v>
      </c>
      <c r="M3362" t="s">
        <v>215</v>
      </c>
      <c r="N3362" t="s">
        <v>793</v>
      </c>
      <c r="O3362" t="s">
        <v>794</v>
      </c>
      <c r="P3362" t="s">
        <v>795</v>
      </c>
      <c r="Q3362" t="s">
        <v>796</v>
      </c>
      <c r="R3362" t="s">
        <v>856</v>
      </c>
      <c r="S3362" t="s">
        <v>797</v>
      </c>
      <c r="T3362" t="s">
        <v>798</v>
      </c>
      <c r="U3362" t="s">
        <v>800</v>
      </c>
      <c r="V3362" t="s">
        <v>801</v>
      </c>
    </row>
    <row r="3363" spans="1:22" x14ac:dyDescent="0.25">
      <c r="A3363" t="s">
        <v>198</v>
      </c>
      <c r="B3363" t="s">
        <v>348</v>
      </c>
      <c r="C3363">
        <v>78</v>
      </c>
      <c r="D3363" t="s">
        <v>197</v>
      </c>
      <c r="E3363">
        <v>2627</v>
      </c>
      <c r="I3363" s="1">
        <v>0.1293</v>
      </c>
      <c r="K3363" s="1">
        <v>0.45450000000000002</v>
      </c>
      <c r="P3363" s="1">
        <v>1.44E-2</v>
      </c>
      <c r="Q3363" s="1">
        <v>1.5699999999999999E-2</v>
      </c>
      <c r="R3363" s="1">
        <v>3.5099999999999999E-2</v>
      </c>
      <c r="U3363" s="1">
        <v>0.36799999999999999</v>
      </c>
      <c r="V3363" s="1">
        <v>0.37080000000000002</v>
      </c>
    </row>
    <row r="3364" spans="1:22" s="29" customFormat="1" x14ac:dyDescent="0.25">
      <c r="A3364" s="29" t="s">
        <v>198</v>
      </c>
      <c r="B3364" s="29" t="s">
        <v>349</v>
      </c>
      <c r="C3364" s="29">
        <v>3</v>
      </c>
      <c r="D3364" s="29" t="s">
        <v>197</v>
      </c>
      <c r="E3364" s="29">
        <v>2627</v>
      </c>
      <c r="K3364" s="30">
        <v>0.66669999999999996</v>
      </c>
      <c r="U3364" s="30">
        <v>0.33329999999999999</v>
      </c>
      <c r="V3364" s="30">
        <v>0.33329999999999999</v>
      </c>
    </row>
    <row r="3365" spans="1:22" x14ac:dyDescent="0.25">
      <c r="A3365" t="s">
        <v>198</v>
      </c>
      <c r="B3365" t="s">
        <v>348</v>
      </c>
      <c r="C3365">
        <v>54</v>
      </c>
      <c r="D3365" t="s">
        <v>199</v>
      </c>
      <c r="E3365">
        <v>2627</v>
      </c>
      <c r="I3365" s="1">
        <v>5.4399999999999997E-2</v>
      </c>
      <c r="K3365" s="1">
        <v>0.18859999999999999</v>
      </c>
      <c r="Q3365" s="1">
        <v>7.1400000000000005E-2</v>
      </c>
      <c r="R3365" s="1">
        <v>3.8E-3</v>
      </c>
      <c r="U3365" s="1">
        <v>0.68189999999999995</v>
      </c>
      <c r="V3365" s="1">
        <v>0.61429999999999996</v>
      </c>
    </row>
    <row r="3366" spans="1:22" x14ac:dyDescent="0.25">
      <c r="A3366" t="s">
        <v>198</v>
      </c>
      <c r="B3366" t="s">
        <v>349</v>
      </c>
      <c r="C3366">
        <v>111</v>
      </c>
      <c r="D3366" t="s">
        <v>199</v>
      </c>
      <c r="E3366">
        <v>2627</v>
      </c>
      <c r="I3366" s="1">
        <v>6.6000000000000003E-2</v>
      </c>
      <c r="K3366" s="1">
        <v>0.16950000000000001</v>
      </c>
      <c r="N3366" s="1">
        <v>5.7999999999999996E-3</v>
      </c>
      <c r="O3366" s="1">
        <v>3.6600000000000001E-2</v>
      </c>
      <c r="P3366" s="1">
        <v>5.4000000000000003E-3</v>
      </c>
      <c r="Q3366" s="1">
        <v>8.7300000000000003E-2</v>
      </c>
      <c r="R3366" s="1">
        <v>0.10299999999999999</v>
      </c>
      <c r="U3366" s="1">
        <v>0.66539999999999999</v>
      </c>
      <c r="V3366" s="1">
        <v>0.59109999999999996</v>
      </c>
    </row>
    <row r="3367" spans="1:22" x14ac:dyDescent="0.25">
      <c r="A3367" t="s">
        <v>198</v>
      </c>
      <c r="B3367" t="s">
        <v>350</v>
      </c>
      <c r="C3367">
        <v>193</v>
      </c>
      <c r="D3367" t="s">
        <v>199</v>
      </c>
      <c r="E3367">
        <v>2627</v>
      </c>
      <c r="H3367" s="1">
        <v>4.8999999999999998E-3</v>
      </c>
      <c r="I3367" s="1">
        <v>9.2200000000000004E-2</v>
      </c>
      <c r="K3367" s="1">
        <v>3.85E-2</v>
      </c>
      <c r="N3367" s="1">
        <v>3.8999999999999998E-3</v>
      </c>
      <c r="O3367" s="1">
        <v>4.2500000000000003E-2</v>
      </c>
      <c r="P3367" s="1">
        <v>4.1999999999999997E-3</v>
      </c>
      <c r="Q3367" s="1">
        <v>2.93E-2</v>
      </c>
      <c r="R3367" s="1">
        <v>1.5599999999999999E-2</v>
      </c>
      <c r="T3367" s="1">
        <v>4.8999999999999998E-3</v>
      </c>
      <c r="U3367" s="1">
        <v>0.85940000000000005</v>
      </c>
      <c r="V3367" s="1">
        <v>0.84150000000000003</v>
      </c>
    </row>
    <row r="3368" spans="1:22" x14ac:dyDescent="0.25">
      <c r="A3368" t="s">
        <v>198</v>
      </c>
      <c r="B3368" t="s">
        <v>350</v>
      </c>
      <c r="C3368">
        <v>78</v>
      </c>
      <c r="D3368" t="s">
        <v>200</v>
      </c>
      <c r="E3368">
        <v>2627</v>
      </c>
      <c r="I3368" s="1">
        <v>4.9500000000000002E-2</v>
      </c>
      <c r="J3368" s="1">
        <v>3.2099999999999997E-2</v>
      </c>
      <c r="K3368" s="1">
        <v>0.1343</v>
      </c>
      <c r="N3368" s="1">
        <v>4.24E-2</v>
      </c>
      <c r="O3368" s="1">
        <v>1.1299999999999999E-2</v>
      </c>
      <c r="Q3368" s="1">
        <v>9.6299999999999997E-2</v>
      </c>
      <c r="T3368" s="1">
        <v>1.1299999999999999E-2</v>
      </c>
      <c r="U3368" s="1">
        <v>0.6845</v>
      </c>
      <c r="V3368" s="1">
        <v>0.65969999999999995</v>
      </c>
    </row>
    <row r="3369" spans="1:22" x14ac:dyDescent="0.25">
      <c r="A3369" t="s">
        <v>198</v>
      </c>
      <c r="B3369" t="s">
        <v>348</v>
      </c>
      <c r="C3369">
        <v>242</v>
      </c>
      <c r="D3369" t="s">
        <v>200</v>
      </c>
      <c r="E3369">
        <v>2627</v>
      </c>
      <c r="H3369" s="1">
        <v>8.6E-3</v>
      </c>
      <c r="I3369" s="1">
        <v>0.17760000000000001</v>
      </c>
      <c r="K3369" s="1">
        <v>0.35859999999999997</v>
      </c>
      <c r="M3369" s="1">
        <v>1.6999999999999999E-3</v>
      </c>
      <c r="N3369" s="1">
        <v>1.06E-2</v>
      </c>
      <c r="P3369" s="1">
        <v>2E-3</v>
      </c>
      <c r="Q3369" s="1">
        <v>5.1999999999999998E-3</v>
      </c>
      <c r="R3369" s="1">
        <v>3.5099999999999999E-2</v>
      </c>
      <c r="U3369" s="1">
        <v>0.39450000000000002</v>
      </c>
      <c r="V3369" s="1">
        <v>0.41810000000000003</v>
      </c>
    </row>
    <row r="3370" spans="1:22" x14ac:dyDescent="0.25">
      <c r="A3370" t="s">
        <v>198</v>
      </c>
      <c r="B3370" t="s">
        <v>349</v>
      </c>
      <c r="C3370">
        <v>62</v>
      </c>
      <c r="D3370" t="s">
        <v>200</v>
      </c>
      <c r="E3370">
        <v>2627</v>
      </c>
      <c r="I3370" s="1">
        <v>0.1096</v>
      </c>
      <c r="K3370" s="1">
        <v>0.28670000000000001</v>
      </c>
      <c r="N3370" s="1">
        <v>5.1799999999999999E-2</v>
      </c>
      <c r="O3370" s="1">
        <v>1.38E-2</v>
      </c>
      <c r="Q3370" s="1">
        <v>5.0099999999999999E-2</v>
      </c>
      <c r="S3370" s="1">
        <v>7.8E-2</v>
      </c>
      <c r="T3370" s="1">
        <v>4.1999999999999997E-3</v>
      </c>
      <c r="U3370" s="1">
        <v>0.35520000000000002</v>
      </c>
      <c r="V3370" s="1">
        <v>0.497</v>
      </c>
    </row>
    <row r="3371" spans="1:22" x14ac:dyDescent="0.25">
      <c r="A3371" t="s">
        <v>198</v>
      </c>
      <c r="B3371" t="s">
        <v>349</v>
      </c>
      <c r="C3371">
        <v>124</v>
      </c>
      <c r="D3371" t="s">
        <v>201</v>
      </c>
      <c r="E3371">
        <v>2627</v>
      </c>
      <c r="I3371" s="1">
        <v>0.1469</v>
      </c>
      <c r="K3371" s="1">
        <v>0.13869999999999999</v>
      </c>
      <c r="N3371" s="1">
        <v>1.5599999999999999E-2</v>
      </c>
      <c r="Q3371" s="1">
        <v>3.9E-2</v>
      </c>
      <c r="R3371" s="1">
        <v>2.0899999999999998E-2</v>
      </c>
      <c r="U3371" s="1">
        <v>0.66959999999999997</v>
      </c>
      <c r="V3371" s="1">
        <v>0.65180000000000005</v>
      </c>
    </row>
    <row r="3372" spans="1:22" x14ac:dyDescent="0.25">
      <c r="A3372" t="s">
        <v>198</v>
      </c>
      <c r="B3372" t="s">
        <v>350</v>
      </c>
      <c r="C3372">
        <v>63</v>
      </c>
      <c r="D3372" t="s">
        <v>201</v>
      </c>
      <c r="E3372">
        <v>2627</v>
      </c>
      <c r="I3372" s="1">
        <v>8.7400000000000005E-2</v>
      </c>
      <c r="K3372" s="1">
        <v>0.27879999999999999</v>
      </c>
      <c r="N3372" s="1">
        <v>2.7300000000000001E-2</v>
      </c>
      <c r="P3372" s="1">
        <v>1.47E-2</v>
      </c>
      <c r="U3372" s="1">
        <v>0.58279999999999998</v>
      </c>
      <c r="V3372" s="1">
        <v>0.59750000000000003</v>
      </c>
    </row>
    <row r="3373" spans="1:22" x14ac:dyDescent="0.25">
      <c r="A3373" t="s">
        <v>198</v>
      </c>
      <c r="B3373" t="s">
        <v>348</v>
      </c>
      <c r="C3373">
        <v>62</v>
      </c>
      <c r="D3373" t="s">
        <v>201</v>
      </c>
      <c r="E3373">
        <v>2627</v>
      </c>
      <c r="F3373" s="1">
        <v>4.7999999999999996E-3</v>
      </c>
      <c r="I3373" s="1">
        <v>0.111</v>
      </c>
      <c r="K3373" s="1">
        <v>0.57479999999999998</v>
      </c>
      <c r="O3373" s="1">
        <v>4.7999999999999996E-3</v>
      </c>
      <c r="Q3373" s="1">
        <v>1.61E-2</v>
      </c>
      <c r="R3373" s="1">
        <v>2.8799999999999999E-2</v>
      </c>
      <c r="U3373" s="1">
        <v>0.25509999999999999</v>
      </c>
      <c r="V3373" s="1">
        <v>0.26029999999999998</v>
      </c>
    </row>
    <row r="3374" spans="1:22" x14ac:dyDescent="0.25">
      <c r="A3374" t="s">
        <v>198</v>
      </c>
      <c r="B3374" t="s">
        <v>348</v>
      </c>
      <c r="C3374">
        <v>96</v>
      </c>
      <c r="D3374" t="s">
        <v>202</v>
      </c>
      <c r="E3374">
        <v>2627</v>
      </c>
      <c r="I3374" s="1">
        <v>0.21659999999999999</v>
      </c>
      <c r="K3374" s="1">
        <v>0.38819999999999999</v>
      </c>
      <c r="O3374" s="1">
        <v>2.5000000000000001E-3</v>
      </c>
      <c r="Q3374" s="1">
        <v>9.4999999999999998E-3</v>
      </c>
      <c r="R3374" s="1">
        <v>3.0700000000000002E-2</v>
      </c>
      <c r="U3374" s="1">
        <v>0.32890000000000003</v>
      </c>
      <c r="V3374" s="1">
        <v>0.33090000000000003</v>
      </c>
    </row>
    <row r="3375" spans="1:22" x14ac:dyDescent="0.25">
      <c r="A3375" t="s">
        <v>203</v>
      </c>
      <c r="B3375" t="s">
        <v>349</v>
      </c>
      <c r="C3375">
        <v>171</v>
      </c>
      <c r="D3375" t="s">
        <v>199</v>
      </c>
      <c r="E3375">
        <v>2627</v>
      </c>
      <c r="F3375" s="1">
        <v>6.3E-3</v>
      </c>
      <c r="I3375" s="1">
        <v>5.3400000000000003E-2</v>
      </c>
      <c r="K3375" s="1">
        <v>0.1162</v>
      </c>
      <c r="N3375" s="1">
        <v>2.5700000000000001E-2</v>
      </c>
      <c r="O3375" s="1">
        <v>8.8000000000000005E-3</v>
      </c>
      <c r="P3375" s="1">
        <v>3.0999999999999999E-3</v>
      </c>
      <c r="Q3375" s="1">
        <v>8.6E-3</v>
      </c>
      <c r="R3375" s="1">
        <v>6.1899999999999997E-2</v>
      </c>
      <c r="T3375" s="1">
        <v>1.15E-2</v>
      </c>
      <c r="U3375" s="1">
        <v>0.7762</v>
      </c>
      <c r="V3375" s="1">
        <v>0.78090000000000004</v>
      </c>
    </row>
    <row r="3376" spans="1:22" x14ac:dyDescent="0.25">
      <c r="A3376" t="s">
        <v>203</v>
      </c>
      <c r="B3376" t="s">
        <v>348</v>
      </c>
      <c r="C3376">
        <v>42</v>
      </c>
      <c r="D3376" t="s">
        <v>199</v>
      </c>
      <c r="E3376">
        <v>2627</v>
      </c>
      <c r="I3376" s="1">
        <v>1.9900000000000001E-2</v>
      </c>
      <c r="K3376" s="1">
        <v>0.45739999999999997</v>
      </c>
      <c r="N3376" s="1">
        <v>3.1800000000000002E-2</v>
      </c>
      <c r="R3376" s="1">
        <v>4.1700000000000001E-2</v>
      </c>
      <c r="U3376" s="1">
        <v>0.51270000000000004</v>
      </c>
      <c r="V3376" s="1">
        <v>0.52270000000000005</v>
      </c>
    </row>
    <row r="3377" spans="1:22" x14ac:dyDescent="0.25">
      <c r="A3377" t="s">
        <v>203</v>
      </c>
      <c r="B3377" t="s">
        <v>350</v>
      </c>
      <c r="C3377">
        <v>306</v>
      </c>
      <c r="D3377" t="s">
        <v>199</v>
      </c>
      <c r="E3377">
        <v>2627</v>
      </c>
      <c r="G3377" s="1">
        <v>1.34E-2</v>
      </c>
      <c r="I3377" s="1">
        <v>0.1013</v>
      </c>
      <c r="J3377" s="1">
        <v>1E-4</v>
      </c>
      <c r="K3377" s="1">
        <v>4.2599999999999999E-2</v>
      </c>
      <c r="L3377" s="1">
        <v>1E-4</v>
      </c>
      <c r="M3377" s="1">
        <v>1.8E-3</v>
      </c>
      <c r="N3377" s="1">
        <v>3.2199999999999999E-2</v>
      </c>
      <c r="O3377" s="1">
        <v>6.7900000000000002E-2</v>
      </c>
      <c r="P3377" s="1">
        <v>4.2099999999999999E-2</v>
      </c>
      <c r="Q3377" s="1">
        <v>3.4099999999999998E-2</v>
      </c>
      <c r="R3377" s="1">
        <v>3.6400000000000002E-2</v>
      </c>
      <c r="S3377" s="1">
        <v>1.34E-2</v>
      </c>
      <c r="T3377" s="1">
        <v>2.2800000000000001E-2</v>
      </c>
      <c r="U3377" s="1">
        <v>0.78639999999999999</v>
      </c>
      <c r="V3377" s="1">
        <v>0.85019999999999996</v>
      </c>
    </row>
    <row r="3378" spans="1:22" x14ac:dyDescent="0.25">
      <c r="A3378" t="s">
        <v>203</v>
      </c>
      <c r="B3378" t="s">
        <v>348</v>
      </c>
      <c r="C3378">
        <v>300</v>
      </c>
      <c r="D3378" t="s">
        <v>200</v>
      </c>
      <c r="E3378">
        <v>2627</v>
      </c>
      <c r="I3378" s="1">
        <v>6.4600000000000005E-2</v>
      </c>
      <c r="K3378" s="1">
        <v>0.35389999999999999</v>
      </c>
      <c r="L3378" s="1">
        <v>4.8999999999999998E-3</v>
      </c>
      <c r="N3378" s="1">
        <v>1.12E-2</v>
      </c>
      <c r="O3378" s="1">
        <v>8.8000000000000005E-3</v>
      </c>
      <c r="P3378" s="1">
        <v>2.2000000000000001E-3</v>
      </c>
      <c r="Q3378" s="1">
        <v>3.04E-2</v>
      </c>
      <c r="R3378" s="1">
        <v>5.8799999999999998E-2</v>
      </c>
      <c r="T3378" s="1">
        <v>1.6400000000000001E-2</v>
      </c>
      <c r="U3378" s="1">
        <v>0.39360000000000001</v>
      </c>
      <c r="V3378" s="1">
        <v>0.53790000000000004</v>
      </c>
    </row>
    <row r="3379" spans="1:22" x14ac:dyDescent="0.25">
      <c r="A3379" t="s">
        <v>203</v>
      </c>
      <c r="B3379" t="s">
        <v>349</v>
      </c>
      <c r="C3379">
        <v>107</v>
      </c>
      <c r="D3379" t="s">
        <v>200</v>
      </c>
      <c r="E3379">
        <v>2627</v>
      </c>
      <c r="I3379" s="1">
        <v>0.10730000000000001</v>
      </c>
      <c r="K3379" s="1">
        <v>0.20150000000000001</v>
      </c>
      <c r="N3379" s="1">
        <v>1.67E-2</v>
      </c>
      <c r="O3379" s="1">
        <v>4.5900000000000003E-2</v>
      </c>
      <c r="Q3379" s="1">
        <v>7.9799999999999996E-2</v>
      </c>
      <c r="R3379" s="1">
        <v>1.5299999999999999E-2</v>
      </c>
      <c r="S3379" s="1">
        <v>1.5299999999999999E-2</v>
      </c>
      <c r="T3379" s="1">
        <v>1.5299999999999999E-2</v>
      </c>
      <c r="U3379" s="1">
        <v>0.39329999999999998</v>
      </c>
      <c r="V3379" s="1">
        <v>0.62590000000000001</v>
      </c>
    </row>
    <row r="3380" spans="1:22" x14ac:dyDescent="0.25">
      <c r="A3380" t="s">
        <v>203</v>
      </c>
      <c r="B3380" t="s">
        <v>350</v>
      </c>
      <c r="C3380">
        <v>94</v>
      </c>
      <c r="D3380" t="s">
        <v>200</v>
      </c>
      <c r="E3380">
        <v>2627</v>
      </c>
      <c r="I3380" s="1">
        <v>6.2399999999999997E-2</v>
      </c>
      <c r="K3380" s="1">
        <v>7.8799999999999995E-2</v>
      </c>
      <c r="N3380" s="1">
        <v>3.09E-2</v>
      </c>
      <c r="O3380" s="1">
        <v>1.38E-2</v>
      </c>
      <c r="P3380" s="1">
        <v>3.09E-2</v>
      </c>
      <c r="Q3380" s="1">
        <v>1.55E-2</v>
      </c>
      <c r="R3380" s="1">
        <v>1.89E-2</v>
      </c>
      <c r="U3380" s="1">
        <v>0.78990000000000005</v>
      </c>
      <c r="V3380" s="1">
        <v>0.76600000000000001</v>
      </c>
    </row>
    <row r="3381" spans="1:22" x14ac:dyDescent="0.25">
      <c r="A3381" t="s">
        <v>203</v>
      </c>
      <c r="B3381" t="s">
        <v>348</v>
      </c>
      <c r="C3381">
        <v>62</v>
      </c>
      <c r="D3381" t="s">
        <v>201</v>
      </c>
      <c r="E3381">
        <v>2627</v>
      </c>
      <c r="H3381" s="1">
        <v>6.4999999999999997E-3</v>
      </c>
      <c r="I3381" s="1">
        <v>0.20799999999999999</v>
      </c>
      <c r="K3381" s="1">
        <v>0.31790000000000002</v>
      </c>
      <c r="Q3381" s="1">
        <v>6.7699999999999996E-2</v>
      </c>
      <c r="R3381" s="1">
        <v>2.4199999999999999E-2</v>
      </c>
      <c r="T3381" s="1">
        <v>3.61E-2</v>
      </c>
      <c r="U3381" s="1">
        <v>0.31490000000000001</v>
      </c>
      <c r="V3381" s="1">
        <v>0.43190000000000001</v>
      </c>
    </row>
    <row r="3382" spans="1:22" x14ac:dyDescent="0.25">
      <c r="A3382" t="s">
        <v>203</v>
      </c>
      <c r="B3382" t="s">
        <v>349</v>
      </c>
      <c r="C3382">
        <v>147</v>
      </c>
      <c r="D3382" t="s">
        <v>201</v>
      </c>
      <c r="E3382">
        <v>2627</v>
      </c>
      <c r="F3382" s="1">
        <v>2.3E-3</v>
      </c>
      <c r="I3382" s="1">
        <v>0.1072</v>
      </c>
      <c r="K3382" s="1">
        <v>0.14069999999999999</v>
      </c>
      <c r="N3382" s="1">
        <v>2.6100000000000002E-2</v>
      </c>
      <c r="O3382" s="1">
        <v>1.9300000000000001E-2</v>
      </c>
      <c r="P3382" s="1">
        <v>1.0800000000000001E-2</v>
      </c>
      <c r="Q3382" s="1">
        <v>0.15640000000000001</v>
      </c>
      <c r="R3382" s="1">
        <v>8.7499999999999994E-2</v>
      </c>
      <c r="S3382" s="1">
        <v>1.5299999999999999E-2</v>
      </c>
      <c r="T3382" s="1">
        <v>2.8299999999999999E-2</v>
      </c>
      <c r="U3382" s="1">
        <v>0.62190000000000001</v>
      </c>
      <c r="V3382" s="1">
        <v>0.60440000000000005</v>
      </c>
    </row>
    <row r="3383" spans="1:22" x14ac:dyDescent="0.25">
      <c r="A3383" t="s">
        <v>203</v>
      </c>
      <c r="B3383" t="s">
        <v>350</v>
      </c>
      <c r="C3383">
        <v>103</v>
      </c>
      <c r="D3383" t="s">
        <v>201</v>
      </c>
      <c r="E3383">
        <v>2627</v>
      </c>
      <c r="G3383" s="1">
        <v>2.8E-3</v>
      </c>
      <c r="I3383" s="1">
        <v>0.1133</v>
      </c>
      <c r="K3383" s="1">
        <v>6.93E-2</v>
      </c>
      <c r="N3383" s="1">
        <v>5.1700000000000003E-2</v>
      </c>
      <c r="Q3383" s="1">
        <v>3.3099999999999997E-2</v>
      </c>
      <c r="R3383" s="1">
        <v>1.6500000000000001E-2</v>
      </c>
      <c r="T3383" s="1">
        <v>2.8E-3</v>
      </c>
      <c r="U3383" s="1">
        <v>0.72350000000000003</v>
      </c>
      <c r="V3383" s="1">
        <v>0.74</v>
      </c>
    </row>
    <row r="3384" spans="1:22" x14ac:dyDescent="0.25">
      <c r="A3384" t="s">
        <v>203</v>
      </c>
      <c r="B3384" t="s">
        <v>348</v>
      </c>
      <c r="C3384">
        <v>90</v>
      </c>
      <c r="D3384" t="s">
        <v>202</v>
      </c>
      <c r="E3384">
        <v>2627</v>
      </c>
      <c r="G3384" s="1">
        <v>3.7000000000000002E-3</v>
      </c>
      <c r="H3384" s="1">
        <v>4.8999999999999998E-3</v>
      </c>
      <c r="I3384" s="1">
        <v>7.9600000000000004E-2</v>
      </c>
      <c r="J3384" s="1">
        <v>1.8499999999999999E-2</v>
      </c>
      <c r="K3384" s="1">
        <v>0.56910000000000005</v>
      </c>
      <c r="O3384" s="1">
        <v>3.5099999999999999E-2</v>
      </c>
      <c r="Q3384" s="1">
        <v>3.7499999999999999E-2</v>
      </c>
      <c r="R3384" s="1">
        <v>8.72E-2</v>
      </c>
      <c r="S3384" s="1">
        <v>3.7000000000000002E-3</v>
      </c>
      <c r="T3384" s="1">
        <v>1.4E-2</v>
      </c>
      <c r="U3384" s="1">
        <v>0.17979999999999999</v>
      </c>
      <c r="V3384" s="1">
        <v>0.2233</v>
      </c>
    </row>
    <row r="3385" spans="1:22" x14ac:dyDescent="0.25">
      <c r="A3385" t="s">
        <v>204</v>
      </c>
      <c r="B3385" t="s">
        <v>204</v>
      </c>
      <c r="C3385">
        <v>2627</v>
      </c>
      <c r="D3385" t="s">
        <v>204</v>
      </c>
      <c r="E3385">
        <v>2627</v>
      </c>
      <c r="F3385" s="1">
        <v>4.0000000000000002E-4</v>
      </c>
      <c r="G3385" s="1">
        <v>1.2999999999999999E-3</v>
      </c>
      <c r="H3385" s="1">
        <v>1.5E-3</v>
      </c>
      <c r="I3385" s="1">
        <v>0.1074</v>
      </c>
      <c r="J3385" s="1">
        <v>1.1999999999999999E-3</v>
      </c>
      <c r="K3385" s="1">
        <v>0.28599999999999998</v>
      </c>
      <c r="L3385" s="1">
        <v>1.4E-3</v>
      </c>
      <c r="M3385" s="1">
        <v>2.9999999999999997E-4</v>
      </c>
      <c r="N3385" s="1">
        <v>1.2200000000000001E-2</v>
      </c>
      <c r="O3385" s="1">
        <v>1.7000000000000001E-2</v>
      </c>
      <c r="P3385" s="1">
        <v>6.7000000000000002E-3</v>
      </c>
      <c r="Q3385" s="1">
        <v>3.5700000000000003E-2</v>
      </c>
      <c r="R3385" s="1">
        <v>4.7500000000000001E-2</v>
      </c>
      <c r="S3385" s="1">
        <v>2.8999999999999998E-3</v>
      </c>
      <c r="T3385" s="1">
        <v>9.7999999999999997E-3</v>
      </c>
      <c r="U3385" s="1">
        <v>0.49390000000000001</v>
      </c>
      <c r="V3385" s="1">
        <v>0.54349999999999998</v>
      </c>
    </row>
    <row r="3387" spans="1:22" x14ac:dyDescent="0.25">
      <c r="A3387" t="s">
        <v>863</v>
      </c>
    </row>
    <row r="3388" spans="1:22" x14ac:dyDescent="0.25">
      <c r="A3388" t="s">
        <v>190</v>
      </c>
      <c r="B3388" t="s">
        <v>195</v>
      </c>
      <c r="C3388" t="s">
        <v>189</v>
      </c>
      <c r="D3388" t="s">
        <v>196</v>
      </c>
      <c r="E3388" t="s">
        <v>864</v>
      </c>
      <c r="F3388" t="s">
        <v>865</v>
      </c>
      <c r="G3388" t="s">
        <v>866</v>
      </c>
      <c r="H3388" t="s">
        <v>220</v>
      </c>
      <c r="I3388" t="s">
        <v>867</v>
      </c>
      <c r="J3388" t="s">
        <v>868</v>
      </c>
      <c r="K3388" t="s">
        <v>869</v>
      </c>
      <c r="L3388" t="s">
        <v>870</v>
      </c>
      <c r="M3388" t="s">
        <v>871</v>
      </c>
      <c r="N3388" t="s">
        <v>872</v>
      </c>
      <c r="O3388" t="s">
        <v>873</v>
      </c>
      <c r="P3388" t="s">
        <v>874</v>
      </c>
      <c r="Q3388" t="s">
        <v>875</v>
      </c>
      <c r="R3388" t="s">
        <v>271</v>
      </c>
      <c r="S3388" t="s">
        <v>235</v>
      </c>
      <c r="T3388" t="s">
        <v>215</v>
      </c>
      <c r="U3388" t="s">
        <v>876</v>
      </c>
      <c r="V3388" t="s">
        <v>877</v>
      </c>
    </row>
    <row r="3389" spans="1:22" x14ac:dyDescent="0.25">
      <c r="A3389" t="s">
        <v>198</v>
      </c>
      <c r="B3389">
        <v>81</v>
      </c>
      <c r="C3389" t="s">
        <v>197</v>
      </c>
      <c r="D3389">
        <v>2618</v>
      </c>
      <c r="E3389" s="1">
        <v>4.3200000000000002E-2</v>
      </c>
      <c r="F3389" s="1">
        <v>0.26050000000000001</v>
      </c>
      <c r="G3389" s="1">
        <v>0.27139999999999997</v>
      </c>
      <c r="I3389" s="1">
        <v>0.1847</v>
      </c>
      <c r="J3389" s="1">
        <v>2.1000000000000001E-2</v>
      </c>
      <c r="K3389" s="1">
        <v>1.8700000000000001E-2</v>
      </c>
      <c r="L3389" s="1">
        <v>2.1399999999999999E-2</v>
      </c>
      <c r="M3389" s="1">
        <v>1.11E-2</v>
      </c>
      <c r="N3389" s="1">
        <v>7.4999999999999997E-3</v>
      </c>
      <c r="O3389" s="1">
        <v>5.8700000000000002E-2</v>
      </c>
      <c r="P3389" s="1">
        <v>0.1149</v>
      </c>
      <c r="Q3389" s="1">
        <v>7.4999999999999997E-3</v>
      </c>
      <c r="R3389" s="1">
        <v>0.2722</v>
      </c>
      <c r="U3389" s="1">
        <v>7.5300000000000006E-2</v>
      </c>
    </row>
    <row r="3390" spans="1:22" x14ac:dyDescent="0.25">
      <c r="A3390" t="s">
        <v>198</v>
      </c>
      <c r="B3390">
        <v>368</v>
      </c>
      <c r="C3390" t="s">
        <v>199</v>
      </c>
      <c r="D3390">
        <v>2618</v>
      </c>
      <c r="E3390" s="1">
        <v>4.2299999999999997E-2</v>
      </c>
      <c r="F3390" s="1">
        <v>0.15540000000000001</v>
      </c>
      <c r="G3390" s="1">
        <v>0.28410000000000002</v>
      </c>
      <c r="H3390" s="1">
        <v>2E-3</v>
      </c>
      <c r="I3390" s="1">
        <v>0.16170000000000001</v>
      </c>
      <c r="J3390" s="1">
        <v>5.6300000000000003E-2</v>
      </c>
      <c r="K3390" s="1">
        <v>6.3200000000000006E-2</v>
      </c>
      <c r="L3390" s="1">
        <v>2.12E-2</v>
      </c>
      <c r="M3390" s="1">
        <v>2.2599999999999999E-2</v>
      </c>
      <c r="N3390" s="1">
        <v>2.6200000000000001E-2</v>
      </c>
      <c r="O3390" s="1">
        <v>4.9200000000000001E-2</v>
      </c>
      <c r="P3390" s="1">
        <v>0.1019</v>
      </c>
      <c r="Q3390" s="1">
        <v>1.18E-2</v>
      </c>
      <c r="R3390" s="1">
        <v>0.34150000000000003</v>
      </c>
      <c r="S3390" s="1">
        <v>2.9999999999999997E-4</v>
      </c>
      <c r="T3390" s="1">
        <v>2.1399999999999999E-2</v>
      </c>
      <c r="U3390" s="1">
        <v>6.4600000000000005E-2</v>
      </c>
      <c r="V3390" s="1">
        <v>8.9999999999999998E-4</v>
      </c>
    </row>
    <row r="3391" spans="1:22" x14ac:dyDescent="0.25">
      <c r="A3391" t="s">
        <v>198</v>
      </c>
      <c r="B3391">
        <v>386</v>
      </c>
      <c r="C3391" t="s">
        <v>200</v>
      </c>
      <c r="D3391">
        <v>2618</v>
      </c>
      <c r="E3391" s="1">
        <v>6.6400000000000001E-2</v>
      </c>
      <c r="F3391" s="1">
        <v>0.154</v>
      </c>
      <c r="G3391" s="1">
        <v>0.28170000000000001</v>
      </c>
      <c r="H3391" s="1">
        <v>6.4999999999999997E-3</v>
      </c>
      <c r="I3391" s="1">
        <v>0.19350000000000001</v>
      </c>
      <c r="J3391" s="1">
        <v>2.7400000000000001E-2</v>
      </c>
      <c r="K3391" s="1">
        <v>1.37E-2</v>
      </c>
      <c r="L3391" s="1">
        <v>8.8000000000000005E-3</v>
      </c>
      <c r="M3391" s="1">
        <v>1.1599999999999999E-2</v>
      </c>
      <c r="N3391" s="1">
        <v>7.4999999999999997E-3</v>
      </c>
      <c r="O3391" s="1">
        <v>2.1000000000000001E-2</v>
      </c>
      <c r="P3391" s="1">
        <v>9.6299999999999997E-2</v>
      </c>
      <c r="Q3391" s="1">
        <v>4.5999999999999999E-3</v>
      </c>
      <c r="R3391" s="1">
        <v>0.35210000000000002</v>
      </c>
      <c r="S3391" s="1">
        <v>2.3E-3</v>
      </c>
      <c r="T3391" s="1">
        <v>3.0999999999999999E-3</v>
      </c>
      <c r="U3391" s="1">
        <v>7.2099999999999997E-2</v>
      </c>
    </row>
    <row r="3392" spans="1:22" x14ac:dyDescent="0.25">
      <c r="A3392" t="s">
        <v>198</v>
      </c>
      <c r="B3392">
        <v>255</v>
      </c>
      <c r="C3392" t="s">
        <v>201</v>
      </c>
      <c r="D3392">
        <v>2618</v>
      </c>
      <c r="E3392" s="1">
        <v>6.4100000000000004E-2</v>
      </c>
      <c r="F3392" s="1">
        <v>0.2492</v>
      </c>
      <c r="G3392" s="1">
        <v>0.14630000000000001</v>
      </c>
      <c r="H3392" s="1">
        <v>1.1299999999999999E-2</v>
      </c>
      <c r="I3392" s="1">
        <v>0.12920000000000001</v>
      </c>
      <c r="J3392" s="1">
        <v>1.4800000000000001E-2</v>
      </c>
      <c r="K3392" s="1">
        <v>5.1000000000000004E-3</v>
      </c>
      <c r="L3392" s="1">
        <v>1.89E-2</v>
      </c>
      <c r="M3392" s="1">
        <v>2.9999999999999997E-4</v>
      </c>
      <c r="N3392" s="1">
        <v>1.1999999999999999E-3</v>
      </c>
      <c r="O3392" s="1">
        <v>1.32E-2</v>
      </c>
      <c r="P3392" s="1">
        <v>9.5799999999999996E-2</v>
      </c>
      <c r="Q3392" s="1">
        <v>1.38E-2</v>
      </c>
      <c r="R3392" s="1">
        <v>0.45269999999999999</v>
      </c>
      <c r="T3392" s="1">
        <v>8.3999999999999995E-3</v>
      </c>
      <c r="U3392" s="1">
        <v>2.86E-2</v>
      </c>
    </row>
    <row r="3393" spans="1:23" x14ac:dyDescent="0.25">
      <c r="A3393" t="s">
        <v>198</v>
      </c>
      <c r="B3393">
        <v>94</v>
      </c>
      <c r="C3393" t="s">
        <v>202</v>
      </c>
      <c r="D3393">
        <v>2618</v>
      </c>
      <c r="E3393" s="1">
        <v>2.7799999999999998E-2</v>
      </c>
      <c r="F3393" s="1">
        <v>0.1764</v>
      </c>
      <c r="G3393" s="1">
        <v>0.25629999999999997</v>
      </c>
      <c r="I3393" s="1">
        <v>7.9000000000000001E-2</v>
      </c>
      <c r="K3393" s="1">
        <v>1.67E-2</v>
      </c>
      <c r="L3393" s="1">
        <v>1.2500000000000001E-2</v>
      </c>
      <c r="M3393" s="1">
        <v>2.5999999999999999E-3</v>
      </c>
      <c r="N3393" s="1">
        <v>8.3000000000000001E-3</v>
      </c>
      <c r="O3393" s="1">
        <v>6.2E-2</v>
      </c>
      <c r="P3393" s="1">
        <v>9.2700000000000005E-2</v>
      </c>
      <c r="Q3393" s="1">
        <v>2.8899999999999999E-2</v>
      </c>
      <c r="R3393" s="1">
        <v>0.44850000000000001</v>
      </c>
    </row>
    <row r="3394" spans="1:23" x14ac:dyDescent="0.25">
      <c r="A3394" t="s">
        <v>203</v>
      </c>
      <c r="B3394">
        <v>524</v>
      </c>
      <c r="C3394" t="s">
        <v>199</v>
      </c>
      <c r="D3394">
        <v>2618</v>
      </c>
      <c r="E3394" s="1">
        <v>4.2200000000000001E-2</v>
      </c>
      <c r="F3394" s="1">
        <v>8.6499999999999994E-2</v>
      </c>
      <c r="G3394" s="1">
        <v>1.44E-2</v>
      </c>
      <c r="H3394" s="1">
        <v>7.3000000000000001E-3</v>
      </c>
      <c r="I3394" s="1">
        <v>1E-3</v>
      </c>
      <c r="K3394" s="1">
        <v>1E-3</v>
      </c>
      <c r="L3394" s="1">
        <v>1.04E-2</v>
      </c>
      <c r="M3394" s="1">
        <v>3.0999999999999999E-3</v>
      </c>
      <c r="N3394" s="1">
        <v>1.5E-3</v>
      </c>
      <c r="O3394" s="1">
        <v>1.6000000000000001E-3</v>
      </c>
      <c r="P3394" s="1">
        <v>2.0999999999999999E-3</v>
      </c>
      <c r="Q3394" s="1">
        <v>6.1999999999999998E-3</v>
      </c>
      <c r="R3394" s="1">
        <v>0.86260000000000003</v>
      </c>
      <c r="S3394" s="1">
        <v>2.0999999999999999E-3</v>
      </c>
      <c r="T3394" s="1">
        <v>8.9999999999999998E-4</v>
      </c>
      <c r="U3394" s="1">
        <v>2.0000000000000001E-4</v>
      </c>
      <c r="V3394" s="1">
        <v>8.5000000000000006E-3</v>
      </c>
    </row>
    <row r="3395" spans="1:23" x14ac:dyDescent="0.25">
      <c r="A3395" t="s">
        <v>203</v>
      </c>
      <c r="B3395">
        <v>501</v>
      </c>
      <c r="C3395" t="s">
        <v>200</v>
      </c>
      <c r="D3395">
        <v>2618</v>
      </c>
      <c r="E3395" s="1">
        <v>6.7999999999999996E-3</v>
      </c>
      <c r="F3395" s="1">
        <v>1.5900000000000001E-2</v>
      </c>
      <c r="G3395" s="1">
        <v>1.7000000000000001E-2</v>
      </c>
      <c r="H3395" s="1">
        <v>4.4999999999999997E-3</v>
      </c>
      <c r="I3395" s="1">
        <v>9.2999999999999992E-3</v>
      </c>
      <c r="J3395" s="1">
        <v>9.1999999999999998E-3</v>
      </c>
      <c r="K3395" s="1">
        <v>2E-3</v>
      </c>
      <c r="L3395" s="1">
        <v>4.4000000000000003E-3</v>
      </c>
      <c r="M3395" s="1">
        <v>5.0000000000000001E-3</v>
      </c>
      <c r="N3395" s="1">
        <v>2.3999999999999998E-3</v>
      </c>
      <c r="O3395" s="1">
        <v>2E-3</v>
      </c>
      <c r="P3395" s="1">
        <v>6.3E-3</v>
      </c>
      <c r="R3395" s="1">
        <v>0.93030000000000002</v>
      </c>
      <c r="S3395" s="1">
        <v>1E-4</v>
      </c>
      <c r="T3395" s="1">
        <v>9.1000000000000004E-3</v>
      </c>
      <c r="U3395" s="1">
        <v>2E-3</v>
      </c>
      <c r="V3395" s="1">
        <v>9.1999999999999998E-3</v>
      </c>
    </row>
    <row r="3396" spans="1:23" x14ac:dyDescent="0.25">
      <c r="A3396" t="s">
        <v>203</v>
      </c>
      <c r="B3396">
        <v>319</v>
      </c>
      <c r="C3396" t="s">
        <v>201</v>
      </c>
      <c r="D3396">
        <v>2618</v>
      </c>
      <c r="E3396" s="1">
        <v>1.6799999999999999E-2</v>
      </c>
      <c r="F3396" s="1">
        <v>7.0900000000000005E-2</v>
      </c>
      <c r="G3396" s="1">
        <v>1.15E-2</v>
      </c>
      <c r="I3396" s="1">
        <v>3.5000000000000001E-3</v>
      </c>
      <c r="K3396" s="1">
        <v>1.9E-3</v>
      </c>
      <c r="L3396" s="1">
        <v>7.1999999999999998E-3</v>
      </c>
      <c r="M3396" s="1">
        <v>7.6E-3</v>
      </c>
      <c r="N3396" s="1">
        <v>2.0999999999999999E-3</v>
      </c>
      <c r="O3396" s="1">
        <v>2.2000000000000001E-3</v>
      </c>
      <c r="P3396" s="1">
        <v>1.3100000000000001E-2</v>
      </c>
      <c r="R3396" s="1">
        <v>0.90049999999999997</v>
      </c>
      <c r="T3396" s="1">
        <v>2.0000000000000001E-4</v>
      </c>
      <c r="U3396" s="1">
        <v>4.0000000000000002E-4</v>
      </c>
    </row>
    <row r="3397" spans="1:23" x14ac:dyDescent="0.25">
      <c r="A3397" t="s">
        <v>203</v>
      </c>
      <c r="B3397">
        <v>90</v>
      </c>
      <c r="C3397" t="s">
        <v>202</v>
      </c>
      <c r="D3397">
        <v>2618</v>
      </c>
      <c r="E3397" s="1">
        <v>8.8000000000000005E-3</v>
      </c>
      <c r="F3397" s="1">
        <v>1.7500000000000002E-2</v>
      </c>
      <c r="H3397" s="1">
        <v>8.8000000000000005E-3</v>
      </c>
      <c r="R3397" s="1">
        <v>0.97370000000000001</v>
      </c>
    </row>
    <row r="3398" spans="1:23" x14ac:dyDescent="0.25">
      <c r="A3398" t="s">
        <v>204</v>
      </c>
      <c r="B3398">
        <v>2618</v>
      </c>
      <c r="C3398" t="s">
        <v>204</v>
      </c>
      <c r="D3398">
        <v>2618</v>
      </c>
      <c r="E3398" s="1">
        <v>3.1E-2</v>
      </c>
      <c r="F3398" s="1">
        <v>0.1047</v>
      </c>
      <c r="G3398" s="1">
        <v>0.12709999999999999</v>
      </c>
      <c r="H3398" s="1">
        <v>4.4000000000000003E-3</v>
      </c>
      <c r="I3398" s="1">
        <v>7.3300000000000004E-2</v>
      </c>
      <c r="J3398" s="1">
        <v>1.55E-2</v>
      </c>
      <c r="K3398" s="1">
        <v>1.35E-2</v>
      </c>
      <c r="L3398" s="1">
        <v>1.03E-2</v>
      </c>
      <c r="M3398" s="1">
        <v>7.7000000000000002E-3</v>
      </c>
      <c r="N3398" s="1">
        <v>6.6E-3</v>
      </c>
      <c r="O3398" s="1">
        <v>1.9900000000000001E-2</v>
      </c>
      <c r="P3398" s="1">
        <v>4.8399999999999999E-2</v>
      </c>
      <c r="Q3398" s="1">
        <v>6.7000000000000002E-3</v>
      </c>
      <c r="R3398" s="1">
        <v>0.66559999999999997</v>
      </c>
      <c r="S3398" s="1">
        <v>5.9999999999999995E-4</v>
      </c>
      <c r="T3398" s="1">
        <v>6.4000000000000003E-3</v>
      </c>
      <c r="U3398" s="1">
        <v>2.41E-2</v>
      </c>
      <c r="V3398" s="1">
        <v>4.1000000000000003E-3</v>
      </c>
    </row>
    <row r="3400" spans="1:23" x14ac:dyDescent="0.25">
      <c r="A3400" t="s">
        <v>878</v>
      </c>
    </row>
    <row r="3401" spans="1:23" x14ac:dyDescent="0.25">
      <c r="A3401" t="s">
        <v>190</v>
      </c>
      <c r="B3401" t="s">
        <v>206</v>
      </c>
      <c r="C3401" t="s">
        <v>195</v>
      </c>
      <c r="D3401" t="s">
        <v>189</v>
      </c>
      <c r="E3401" t="s">
        <v>196</v>
      </c>
      <c r="F3401" t="s">
        <v>864</v>
      </c>
      <c r="G3401" t="s">
        <v>865</v>
      </c>
      <c r="H3401" t="s">
        <v>866</v>
      </c>
      <c r="I3401" t="s">
        <v>220</v>
      </c>
      <c r="J3401" t="s">
        <v>867</v>
      </c>
      <c r="K3401" t="s">
        <v>868</v>
      </c>
      <c r="L3401" t="s">
        <v>869</v>
      </c>
      <c r="M3401" t="s">
        <v>870</v>
      </c>
      <c r="N3401" t="s">
        <v>871</v>
      </c>
      <c r="O3401" t="s">
        <v>872</v>
      </c>
      <c r="P3401" t="s">
        <v>873</v>
      </c>
      <c r="Q3401" t="s">
        <v>874</v>
      </c>
      <c r="R3401" t="s">
        <v>875</v>
      </c>
      <c r="S3401" t="s">
        <v>271</v>
      </c>
      <c r="T3401" t="s">
        <v>235</v>
      </c>
      <c r="U3401" t="s">
        <v>215</v>
      </c>
      <c r="V3401" t="s">
        <v>876</v>
      </c>
      <c r="W3401" t="s">
        <v>877</v>
      </c>
    </row>
    <row r="3402" spans="1:23" x14ac:dyDescent="0.25">
      <c r="A3402" t="s">
        <v>198</v>
      </c>
      <c r="B3402" t="s">
        <v>228</v>
      </c>
      <c r="C3402">
        <v>33</v>
      </c>
      <c r="D3402" t="s">
        <v>197</v>
      </c>
      <c r="E3402">
        <v>2618</v>
      </c>
      <c r="F3402" s="1">
        <v>4.82E-2</v>
      </c>
      <c r="G3402" s="1">
        <v>0.17680000000000001</v>
      </c>
      <c r="H3402" s="1">
        <v>0.23319999999999999</v>
      </c>
      <c r="J3402" s="1">
        <v>0.18740000000000001</v>
      </c>
      <c r="K3402" s="1">
        <v>4.82E-2</v>
      </c>
      <c r="N3402" s="1">
        <v>2.5600000000000001E-2</v>
      </c>
      <c r="P3402" s="1">
        <v>6.8400000000000002E-2</v>
      </c>
      <c r="Q3402" s="1">
        <v>0.13389999999999999</v>
      </c>
      <c r="S3402" s="1">
        <v>0.36880000000000002</v>
      </c>
      <c r="V3402" s="1">
        <v>9.9299999999999999E-2</v>
      </c>
    </row>
    <row r="3403" spans="1:23" x14ac:dyDescent="0.25">
      <c r="A3403" t="s">
        <v>198</v>
      </c>
      <c r="B3403" t="s">
        <v>229</v>
      </c>
      <c r="C3403">
        <v>48</v>
      </c>
      <c r="D3403" t="s">
        <v>197</v>
      </c>
      <c r="E3403">
        <v>2618</v>
      </c>
      <c r="F3403" s="1">
        <v>3.9399999999999998E-2</v>
      </c>
      <c r="G3403" s="1">
        <v>0.32490000000000002</v>
      </c>
      <c r="H3403" s="1">
        <v>0.3009</v>
      </c>
      <c r="J3403" s="1">
        <v>0.1827</v>
      </c>
      <c r="L3403" s="1">
        <v>3.3000000000000002E-2</v>
      </c>
      <c r="M3403" s="1">
        <v>3.7900000000000003E-2</v>
      </c>
      <c r="O3403" s="1">
        <v>1.3299999999999999E-2</v>
      </c>
      <c r="P3403" s="1">
        <v>5.1200000000000002E-2</v>
      </c>
      <c r="Q3403" s="1">
        <v>0.1003</v>
      </c>
      <c r="R3403" s="1">
        <v>1.3299999999999999E-2</v>
      </c>
      <c r="S3403" s="1">
        <v>0.19789999999999999</v>
      </c>
      <c r="V3403" s="1">
        <v>5.6800000000000003E-2</v>
      </c>
    </row>
    <row r="3404" spans="1:23" x14ac:dyDescent="0.25">
      <c r="A3404" t="s">
        <v>198</v>
      </c>
      <c r="B3404" t="s">
        <v>228</v>
      </c>
      <c r="C3404">
        <v>145</v>
      </c>
      <c r="D3404" t="s">
        <v>199</v>
      </c>
      <c r="E3404">
        <v>2618</v>
      </c>
      <c r="F3404" s="1">
        <v>1.9E-2</v>
      </c>
      <c r="G3404" s="1">
        <v>0.2278</v>
      </c>
      <c r="H3404" s="1">
        <v>0.16159999999999999</v>
      </c>
      <c r="I3404" s="1">
        <v>7.7999999999999996E-3</v>
      </c>
      <c r="J3404" s="1">
        <v>0.17369999999999999</v>
      </c>
      <c r="K3404" s="1">
        <v>2.0999999999999999E-3</v>
      </c>
      <c r="L3404" s="1">
        <v>8.2699999999999996E-2</v>
      </c>
      <c r="M3404" s="1">
        <v>6.6699999999999995E-2</v>
      </c>
      <c r="N3404" s="1">
        <v>1.2699999999999999E-2</v>
      </c>
      <c r="O3404" s="1">
        <v>8.8400000000000006E-2</v>
      </c>
      <c r="P3404" s="1">
        <v>3.95E-2</v>
      </c>
      <c r="Q3404" s="1">
        <v>6.5100000000000005E-2</v>
      </c>
      <c r="R3404" s="1">
        <v>3.3999999999999998E-3</v>
      </c>
      <c r="S3404" s="1">
        <v>0.40670000000000001</v>
      </c>
      <c r="U3404" s="1">
        <v>7.7999999999999996E-3</v>
      </c>
      <c r="V3404" s="1">
        <v>1.11E-2</v>
      </c>
      <c r="W3404" s="1">
        <v>3.3999999999999998E-3</v>
      </c>
    </row>
    <row r="3405" spans="1:23" x14ac:dyDescent="0.25">
      <c r="A3405" t="s">
        <v>198</v>
      </c>
      <c r="B3405" t="s">
        <v>229</v>
      </c>
      <c r="C3405">
        <v>213</v>
      </c>
      <c r="D3405" t="s">
        <v>199</v>
      </c>
      <c r="E3405">
        <v>2618</v>
      </c>
      <c r="F3405" s="1">
        <v>5.0799999999999998E-2</v>
      </c>
      <c r="G3405" s="1">
        <v>0.1318</v>
      </c>
      <c r="H3405" s="1">
        <v>0.32769999999999999</v>
      </c>
      <c r="J3405" s="1">
        <v>0.15790000000000001</v>
      </c>
      <c r="K3405" s="1">
        <v>7.5700000000000003E-2</v>
      </c>
      <c r="L3405" s="1">
        <v>5.7099999999999998E-2</v>
      </c>
      <c r="M3405" s="1">
        <v>5.4999999999999997E-3</v>
      </c>
      <c r="N3405" s="1">
        <v>2.63E-2</v>
      </c>
      <c r="O3405" s="1">
        <v>4.7999999999999996E-3</v>
      </c>
      <c r="P3405" s="1">
        <v>5.2600000000000001E-2</v>
      </c>
      <c r="Q3405" s="1">
        <v>0.1157</v>
      </c>
      <c r="R3405" s="1">
        <v>1.49E-2</v>
      </c>
      <c r="S3405" s="1">
        <v>0.3145</v>
      </c>
      <c r="T3405" s="1">
        <v>4.0000000000000002E-4</v>
      </c>
      <c r="U3405" s="1">
        <v>2.63E-2</v>
      </c>
      <c r="V3405" s="1">
        <v>8.3900000000000002E-2</v>
      </c>
    </row>
    <row r="3406" spans="1:23" x14ac:dyDescent="0.25">
      <c r="A3406" t="s">
        <v>198</v>
      </c>
      <c r="B3406" t="s">
        <v>229</v>
      </c>
      <c r="C3406">
        <v>269</v>
      </c>
      <c r="D3406" t="s">
        <v>200</v>
      </c>
      <c r="E3406">
        <v>2618</v>
      </c>
      <c r="F3406" s="1">
        <v>6.7500000000000004E-2</v>
      </c>
      <c r="G3406" s="1">
        <v>0.1331</v>
      </c>
      <c r="H3406" s="1">
        <v>0.33639999999999998</v>
      </c>
      <c r="I3406" s="1">
        <v>1E-4</v>
      </c>
      <c r="J3406" s="1">
        <v>0.1923</v>
      </c>
      <c r="K3406" s="1">
        <v>2.9899999999999999E-2</v>
      </c>
      <c r="L3406" s="1">
        <v>6.0000000000000001E-3</v>
      </c>
      <c r="M3406" s="1">
        <v>1.1599999999999999E-2</v>
      </c>
      <c r="N3406" s="1">
        <v>6.8999999999999999E-3</v>
      </c>
      <c r="O3406" s="1">
        <v>9.7999999999999997E-3</v>
      </c>
      <c r="P3406" s="1">
        <v>2.4299999999999999E-2</v>
      </c>
      <c r="Q3406" s="1">
        <v>0.11360000000000001</v>
      </c>
      <c r="R3406" s="1">
        <v>6.0000000000000001E-3</v>
      </c>
      <c r="S3406" s="1">
        <v>0.33260000000000001</v>
      </c>
      <c r="T3406" s="1">
        <v>3.0000000000000001E-3</v>
      </c>
      <c r="V3406" s="1">
        <v>8.6800000000000002E-2</v>
      </c>
    </row>
    <row r="3407" spans="1:23" x14ac:dyDescent="0.25">
      <c r="A3407" t="s">
        <v>198</v>
      </c>
      <c r="B3407" t="s">
        <v>228</v>
      </c>
      <c r="C3407">
        <v>112</v>
      </c>
      <c r="D3407" t="s">
        <v>200</v>
      </c>
      <c r="E3407">
        <v>2618</v>
      </c>
      <c r="F3407" s="1">
        <v>4.48E-2</v>
      </c>
      <c r="G3407" s="1">
        <v>0.20680000000000001</v>
      </c>
      <c r="H3407" s="1">
        <v>0.1109</v>
      </c>
      <c r="I3407" s="1">
        <v>2.7400000000000001E-2</v>
      </c>
      <c r="J3407" s="1">
        <v>0.20349999999999999</v>
      </c>
      <c r="K3407" s="1">
        <v>1.9900000000000001E-2</v>
      </c>
      <c r="L3407" s="1">
        <v>3.9399999999999998E-2</v>
      </c>
      <c r="N3407" s="1">
        <v>2.7400000000000001E-2</v>
      </c>
      <c r="P3407" s="1">
        <v>1.0500000000000001E-2</v>
      </c>
      <c r="Q3407" s="1">
        <v>4.2799999999999998E-2</v>
      </c>
      <c r="S3407" s="1">
        <v>0.41620000000000001</v>
      </c>
      <c r="U3407" s="1">
        <v>1.3299999999999999E-2</v>
      </c>
      <c r="V3407" s="1">
        <v>2.6100000000000002E-2</v>
      </c>
    </row>
    <row r="3408" spans="1:23" x14ac:dyDescent="0.25">
      <c r="A3408" t="s">
        <v>198</v>
      </c>
      <c r="B3408" t="s">
        <v>228</v>
      </c>
      <c r="C3408">
        <v>95</v>
      </c>
      <c r="D3408" t="s">
        <v>201</v>
      </c>
      <c r="E3408">
        <v>2618</v>
      </c>
      <c r="F3408" s="1">
        <v>0.1191</v>
      </c>
      <c r="G3408" s="1">
        <v>0.19309999999999999</v>
      </c>
      <c r="H3408" s="1">
        <v>7.6499999999999999E-2</v>
      </c>
      <c r="I3408" s="1">
        <v>3.6400000000000002E-2</v>
      </c>
      <c r="J3408" s="1">
        <v>5.8599999999999999E-2</v>
      </c>
      <c r="K3408" s="1">
        <v>5.2999999999999999E-2</v>
      </c>
      <c r="L3408" s="1">
        <v>7.3000000000000001E-3</v>
      </c>
      <c r="M3408" s="1">
        <v>7.3000000000000001E-3</v>
      </c>
      <c r="N3408" s="1">
        <v>1.5E-3</v>
      </c>
      <c r="O3408" s="1">
        <v>5.7999999999999996E-3</v>
      </c>
      <c r="P3408" s="1">
        <v>8.8999999999999999E-3</v>
      </c>
      <c r="Q3408" s="1">
        <v>5.9799999999999999E-2</v>
      </c>
      <c r="S3408" s="1">
        <v>0.54810000000000003</v>
      </c>
      <c r="U3408" s="1">
        <v>3.9300000000000002E-2</v>
      </c>
      <c r="V3408" s="1">
        <v>8.9999999999999993E-3</v>
      </c>
    </row>
    <row r="3409" spans="1:23" x14ac:dyDescent="0.25">
      <c r="A3409" t="s">
        <v>198</v>
      </c>
      <c r="B3409" t="s">
        <v>229</v>
      </c>
      <c r="C3409">
        <v>154</v>
      </c>
      <c r="D3409" t="s">
        <v>201</v>
      </c>
      <c r="E3409">
        <v>2618</v>
      </c>
      <c r="F3409" s="1">
        <v>4.99E-2</v>
      </c>
      <c r="G3409" s="1">
        <v>0.26750000000000002</v>
      </c>
      <c r="H3409" s="1">
        <v>0.156</v>
      </c>
      <c r="I3409" s="1">
        <v>4.5999999999999999E-3</v>
      </c>
      <c r="J3409" s="1">
        <v>0.15029999999999999</v>
      </c>
      <c r="K3409" s="1">
        <v>4.5999999999999999E-3</v>
      </c>
      <c r="L3409" s="1">
        <v>4.5999999999999999E-3</v>
      </c>
      <c r="M3409" s="1">
        <v>2.23E-2</v>
      </c>
      <c r="P3409" s="1">
        <v>1.46E-2</v>
      </c>
      <c r="Q3409" s="1">
        <v>0.1069</v>
      </c>
      <c r="R3409" s="1">
        <v>1.78E-2</v>
      </c>
      <c r="S3409" s="1">
        <v>0.43099999999999999</v>
      </c>
      <c r="V3409" s="1">
        <v>3.44E-2</v>
      </c>
    </row>
    <row r="3410" spans="1:23" s="29" customFormat="1" x14ac:dyDescent="0.25">
      <c r="A3410" s="29" t="s">
        <v>198</v>
      </c>
      <c r="B3410" s="29" t="s">
        <v>228</v>
      </c>
      <c r="C3410" s="29">
        <v>28</v>
      </c>
      <c r="D3410" s="29" t="s">
        <v>202</v>
      </c>
      <c r="E3410" s="29">
        <v>2618</v>
      </c>
      <c r="F3410" s="30">
        <v>7.9000000000000001E-2</v>
      </c>
      <c r="G3410" s="30">
        <v>0.22600000000000001</v>
      </c>
      <c r="H3410" s="30">
        <v>0.33439999999999998</v>
      </c>
      <c r="J3410" s="30">
        <v>0.12620000000000001</v>
      </c>
      <c r="P3410" s="30">
        <v>0.1469</v>
      </c>
      <c r="Q3410" s="30">
        <v>0.24340000000000001</v>
      </c>
      <c r="R3410" s="30">
        <v>1.0699999999999999E-2</v>
      </c>
      <c r="S3410" s="30">
        <v>0.29599999999999999</v>
      </c>
    </row>
    <row r="3411" spans="1:23" x14ac:dyDescent="0.25">
      <c r="A3411" t="s">
        <v>198</v>
      </c>
      <c r="B3411" t="s">
        <v>229</v>
      </c>
      <c r="C3411">
        <v>66</v>
      </c>
      <c r="D3411" t="s">
        <v>202</v>
      </c>
      <c r="E3411">
        <v>2618</v>
      </c>
      <c r="F3411" s="1">
        <v>1.11E-2</v>
      </c>
      <c r="G3411" s="1">
        <v>0.16020000000000001</v>
      </c>
      <c r="H3411" s="1">
        <v>0.23080000000000001</v>
      </c>
      <c r="J3411" s="1">
        <v>6.3500000000000001E-2</v>
      </c>
      <c r="L3411" s="1">
        <v>2.2100000000000002E-2</v>
      </c>
      <c r="M3411" s="1">
        <v>1.66E-2</v>
      </c>
      <c r="N3411" s="1">
        <v>3.5000000000000001E-3</v>
      </c>
      <c r="O3411" s="1">
        <v>1.11E-2</v>
      </c>
      <c r="P3411" s="1">
        <v>3.4200000000000001E-2</v>
      </c>
      <c r="Q3411" s="1">
        <v>4.3499999999999997E-2</v>
      </c>
      <c r="R3411" s="1">
        <v>3.49E-2</v>
      </c>
      <c r="S3411" s="1">
        <v>0.49840000000000001</v>
      </c>
    </row>
    <row r="3412" spans="1:23" x14ac:dyDescent="0.25">
      <c r="A3412" t="s">
        <v>203</v>
      </c>
      <c r="B3412" t="s">
        <v>229</v>
      </c>
      <c r="C3412">
        <v>366</v>
      </c>
      <c r="D3412" t="s">
        <v>199</v>
      </c>
      <c r="E3412">
        <v>2618</v>
      </c>
      <c r="F3412" s="1">
        <v>3.1699999999999999E-2</v>
      </c>
      <c r="G3412" s="1">
        <v>7.2300000000000003E-2</v>
      </c>
      <c r="H3412" s="1">
        <v>1.32E-2</v>
      </c>
      <c r="I3412" s="1">
        <v>7.6E-3</v>
      </c>
      <c r="J3412" s="1">
        <v>1.1000000000000001E-3</v>
      </c>
      <c r="L3412" s="1">
        <v>1.1000000000000001E-3</v>
      </c>
      <c r="M3412" s="1">
        <v>1.1999999999999999E-3</v>
      </c>
      <c r="N3412" s="1">
        <v>2.5999999999999999E-3</v>
      </c>
      <c r="O3412" s="1">
        <v>1.1000000000000001E-3</v>
      </c>
      <c r="Q3412" s="1">
        <v>1.1999999999999999E-3</v>
      </c>
      <c r="R3412" s="1">
        <v>7.0000000000000001E-3</v>
      </c>
      <c r="S3412" s="1">
        <v>0.87570000000000003</v>
      </c>
      <c r="T3412" s="1">
        <v>2.3999999999999998E-3</v>
      </c>
      <c r="U3412" s="1">
        <v>1E-3</v>
      </c>
      <c r="W3412" s="1">
        <v>9.4999999999999998E-3</v>
      </c>
    </row>
    <row r="3413" spans="1:23" x14ac:dyDescent="0.25">
      <c r="A3413" t="s">
        <v>203</v>
      </c>
      <c r="B3413" t="s">
        <v>228</v>
      </c>
      <c r="C3413">
        <v>148</v>
      </c>
      <c r="D3413" t="s">
        <v>199</v>
      </c>
      <c r="E3413">
        <v>2618</v>
      </c>
      <c r="F3413" s="1">
        <v>0.13400000000000001</v>
      </c>
      <c r="G3413" s="1">
        <v>0.2069</v>
      </c>
      <c r="H3413" s="1">
        <v>2.5600000000000001E-2</v>
      </c>
      <c r="I3413" s="1">
        <v>4.8999999999999998E-3</v>
      </c>
      <c r="M3413" s="1">
        <v>9.01E-2</v>
      </c>
      <c r="N3413" s="1">
        <v>7.7999999999999996E-3</v>
      </c>
      <c r="O3413" s="1">
        <v>4.8999999999999998E-3</v>
      </c>
      <c r="P3413" s="1">
        <v>1.54E-2</v>
      </c>
      <c r="Q3413" s="1">
        <v>9.7999999999999997E-3</v>
      </c>
      <c r="S3413" s="1">
        <v>0.74950000000000006</v>
      </c>
      <c r="V3413" s="1">
        <v>2E-3</v>
      </c>
    </row>
    <row r="3414" spans="1:23" x14ac:dyDescent="0.25">
      <c r="A3414" t="s">
        <v>203</v>
      </c>
      <c r="B3414" t="s">
        <v>229</v>
      </c>
      <c r="C3414">
        <v>346</v>
      </c>
      <c r="D3414" t="s">
        <v>200</v>
      </c>
      <c r="E3414">
        <v>2618</v>
      </c>
      <c r="G3414" s="1">
        <v>7.7999999999999996E-3</v>
      </c>
      <c r="H3414" s="1">
        <v>1.38E-2</v>
      </c>
      <c r="I3414" s="1">
        <v>5.1000000000000004E-3</v>
      </c>
      <c r="J3414" s="1">
        <v>1.14E-2</v>
      </c>
      <c r="K3414" s="1">
        <v>1.1299999999999999E-2</v>
      </c>
      <c r="L3414" s="1">
        <v>2.3999999999999998E-3</v>
      </c>
      <c r="M3414" s="1">
        <v>2.3999999999999998E-3</v>
      </c>
      <c r="N3414" s="1">
        <v>4.4999999999999997E-3</v>
      </c>
      <c r="O3414" s="1">
        <v>2.3999999999999998E-3</v>
      </c>
      <c r="P3414" s="1">
        <v>2.3999999999999998E-3</v>
      </c>
      <c r="Q3414" s="1">
        <v>2.3999999999999998E-3</v>
      </c>
      <c r="S3414" s="1">
        <v>0.94350000000000001</v>
      </c>
      <c r="T3414" s="1">
        <v>1E-4</v>
      </c>
      <c r="U3414" s="1">
        <v>1.1299999999999999E-2</v>
      </c>
      <c r="V3414" s="1">
        <v>2.3999999999999998E-3</v>
      </c>
      <c r="W3414" s="1">
        <v>1.1299999999999999E-2</v>
      </c>
    </row>
    <row r="3415" spans="1:23" x14ac:dyDescent="0.25">
      <c r="A3415" t="s">
        <v>203</v>
      </c>
      <c r="B3415" t="s">
        <v>228</v>
      </c>
      <c r="C3415">
        <v>154</v>
      </c>
      <c r="D3415" t="s">
        <v>200</v>
      </c>
      <c r="E3415">
        <v>2618</v>
      </c>
      <c r="F3415" s="1">
        <v>3.49E-2</v>
      </c>
      <c r="G3415" s="1">
        <v>4.9700000000000001E-2</v>
      </c>
      <c r="H3415" s="1">
        <v>3.0599999999999999E-2</v>
      </c>
      <c r="I3415" s="1">
        <v>2.2000000000000001E-3</v>
      </c>
      <c r="J3415" s="1">
        <v>5.9999999999999995E-4</v>
      </c>
      <c r="K3415" s="1">
        <v>5.9999999999999995E-4</v>
      </c>
      <c r="M3415" s="1">
        <v>1.24E-2</v>
      </c>
      <c r="N3415" s="1">
        <v>7.1000000000000004E-3</v>
      </c>
      <c r="O3415" s="1">
        <v>2.2000000000000001E-3</v>
      </c>
      <c r="Q3415" s="1">
        <v>2.2599999999999999E-2</v>
      </c>
      <c r="S3415" s="1">
        <v>0.87509999999999999</v>
      </c>
      <c r="W3415" s="1">
        <v>4.0000000000000002E-4</v>
      </c>
    </row>
    <row r="3416" spans="1:23" x14ac:dyDescent="0.25">
      <c r="A3416" t="s">
        <v>203</v>
      </c>
      <c r="B3416" t="s">
        <v>229</v>
      </c>
      <c r="C3416">
        <v>136</v>
      </c>
      <c r="D3416" t="s">
        <v>201</v>
      </c>
      <c r="E3416">
        <v>2618</v>
      </c>
      <c r="F3416" s="1">
        <v>1.0699999999999999E-2</v>
      </c>
      <c r="G3416" s="1">
        <v>3.27E-2</v>
      </c>
      <c r="H3416" s="1">
        <v>1.01E-2</v>
      </c>
      <c r="J3416" s="1">
        <v>4.5999999999999999E-3</v>
      </c>
      <c r="M3416" s="1">
        <v>9.1999999999999998E-3</v>
      </c>
      <c r="N3416" s="1">
        <v>9.1999999999999998E-3</v>
      </c>
      <c r="Q3416" s="1">
        <v>3.0999999999999999E-3</v>
      </c>
      <c r="S3416" s="1">
        <v>0.93820000000000003</v>
      </c>
    </row>
    <row r="3417" spans="1:23" x14ac:dyDescent="0.25">
      <c r="A3417" t="s">
        <v>203</v>
      </c>
      <c r="B3417" t="s">
        <v>228</v>
      </c>
      <c r="C3417">
        <v>176</v>
      </c>
      <c r="D3417" t="s">
        <v>201</v>
      </c>
      <c r="E3417">
        <v>2618</v>
      </c>
      <c r="F3417" s="1">
        <v>3.5400000000000001E-2</v>
      </c>
      <c r="G3417" s="1">
        <v>0.1918</v>
      </c>
      <c r="H3417" s="1">
        <v>1.5900000000000001E-2</v>
      </c>
      <c r="L3417" s="1">
        <v>7.9000000000000008E-3</v>
      </c>
      <c r="M3417" s="1">
        <v>8.0000000000000004E-4</v>
      </c>
      <c r="N3417" s="1">
        <v>2.5000000000000001E-3</v>
      </c>
      <c r="O3417" s="1">
        <v>8.6999999999999994E-3</v>
      </c>
      <c r="P3417" s="1">
        <v>8.2000000000000007E-3</v>
      </c>
      <c r="Q3417" s="1">
        <v>4.53E-2</v>
      </c>
      <c r="S3417" s="1">
        <v>0.78149999999999997</v>
      </c>
      <c r="U3417" s="1">
        <v>8.0000000000000004E-4</v>
      </c>
      <c r="V3417" s="1">
        <v>8.0000000000000004E-4</v>
      </c>
    </row>
    <row r="3418" spans="1:23" x14ac:dyDescent="0.25">
      <c r="A3418" t="s">
        <v>203</v>
      </c>
      <c r="B3418" t="s">
        <v>228</v>
      </c>
      <c r="C3418">
        <v>34</v>
      </c>
      <c r="D3418" t="s">
        <v>202</v>
      </c>
      <c r="E3418">
        <v>2618</v>
      </c>
      <c r="S3418" s="1">
        <v>1</v>
      </c>
    </row>
    <row r="3419" spans="1:23" x14ac:dyDescent="0.25">
      <c r="A3419" t="s">
        <v>203</v>
      </c>
      <c r="B3419" t="s">
        <v>229</v>
      </c>
      <c r="C3419">
        <v>56</v>
      </c>
      <c r="D3419" t="s">
        <v>202</v>
      </c>
      <c r="E3419">
        <v>2618</v>
      </c>
      <c r="F3419" s="1">
        <v>1.2200000000000001E-2</v>
      </c>
      <c r="G3419" s="1">
        <v>2.4500000000000001E-2</v>
      </c>
      <c r="I3419" s="1">
        <v>1.2200000000000001E-2</v>
      </c>
      <c r="S3419" s="1">
        <v>0.96330000000000005</v>
      </c>
    </row>
    <row r="3420" spans="1:23" x14ac:dyDescent="0.25">
      <c r="A3420" t="s">
        <v>204</v>
      </c>
      <c r="B3420" t="s">
        <v>204</v>
      </c>
      <c r="C3420">
        <v>2618</v>
      </c>
      <c r="D3420" t="s">
        <v>204</v>
      </c>
      <c r="E3420">
        <v>2618</v>
      </c>
      <c r="F3420" s="1">
        <v>3.1E-2</v>
      </c>
      <c r="G3420" s="1">
        <v>0.1047</v>
      </c>
      <c r="H3420" s="1">
        <v>0.12709999999999999</v>
      </c>
      <c r="I3420" s="1">
        <v>4.4000000000000003E-3</v>
      </c>
      <c r="J3420" s="1">
        <v>7.3300000000000004E-2</v>
      </c>
      <c r="K3420" s="1">
        <v>1.55E-2</v>
      </c>
      <c r="L3420" s="1">
        <v>1.35E-2</v>
      </c>
      <c r="M3420" s="1">
        <v>1.03E-2</v>
      </c>
      <c r="N3420" s="1">
        <v>7.7000000000000002E-3</v>
      </c>
      <c r="O3420" s="1">
        <v>6.6E-3</v>
      </c>
      <c r="P3420" s="1">
        <v>1.9900000000000001E-2</v>
      </c>
      <c r="Q3420" s="1">
        <v>4.8399999999999999E-2</v>
      </c>
      <c r="R3420" s="1">
        <v>6.7000000000000002E-3</v>
      </c>
      <c r="S3420" s="1">
        <v>0.66559999999999997</v>
      </c>
      <c r="T3420" s="1">
        <v>5.9999999999999995E-4</v>
      </c>
      <c r="U3420" s="1">
        <v>6.4000000000000003E-3</v>
      </c>
      <c r="V3420" s="1">
        <v>2.41E-2</v>
      </c>
      <c r="W3420" s="1">
        <v>4.1000000000000003E-3</v>
      </c>
    </row>
    <row r="3422" spans="1:23" x14ac:dyDescent="0.25">
      <c r="A3422" t="s">
        <v>879</v>
      </c>
    </row>
    <row r="3423" spans="1:23" x14ac:dyDescent="0.25">
      <c r="A3423" t="s">
        <v>190</v>
      </c>
      <c r="B3423" t="s">
        <v>206</v>
      </c>
      <c r="C3423" t="s">
        <v>195</v>
      </c>
      <c r="D3423" t="s">
        <v>189</v>
      </c>
      <c r="E3423" t="s">
        <v>196</v>
      </c>
      <c r="F3423" t="s">
        <v>864</v>
      </c>
      <c r="G3423" t="s">
        <v>865</v>
      </c>
      <c r="H3423" t="s">
        <v>866</v>
      </c>
      <c r="I3423" t="s">
        <v>220</v>
      </c>
      <c r="J3423" t="s">
        <v>867</v>
      </c>
      <c r="K3423" t="s">
        <v>868</v>
      </c>
      <c r="L3423" t="s">
        <v>869</v>
      </c>
      <c r="M3423" t="s">
        <v>870</v>
      </c>
      <c r="N3423" t="s">
        <v>871</v>
      </c>
      <c r="O3423" t="s">
        <v>872</v>
      </c>
      <c r="P3423" t="s">
        <v>873</v>
      </c>
      <c r="Q3423" t="s">
        <v>874</v>
      </c>
      <c r="R3423" t="s">
        <v>875</v>
      </c>
      <c r="S3423" t="s">
        <v>271</v>
      </c>
      <c r="T3423" t="s">
        <v>235</v>
      </c>
      <c r="U3423" t="s">
        <v>215</v>
      </c>
      <c r="V3423" t="s">
        <v>876</v>
      </c>
      <c r="W3423" t="s">
        <v>877</v>
      </c>
    </row>
    <row r="3424" spans="1:23" x14ac:dyDescent="0.25">
      <c r="A3424" t="s">
        <v>198</v>
      </c>
      <c r="B3424" t="s">
        <v>348</v>
      </c>
      <c r="C3424">
        <v>78</v>
      </c>
      <c r="D3424" t="s">
        <v>197</v>
      </c>
      <c r="E3424">
        <v>2618</v>
      </c>
      <c r="F3424" s="1">
        <v>4.4699999999999997E-2</v>
      </c>
      <c r="G3424" s="1">
        <v>0.26950000000000002</v>
      </c>
      <c r="H3424" s="1">
        <v>0.26929999999999998</v>
      </c>
      <c r="J3424" s="1">
        <v>0.19109999999999999</v>
      </c>
      <c r="K3424" s="1">
        <v>2.1700000000000001E-2</v>
      </c>
      <c r="L3424" s="1">
        <v>1.9300000000000001E-2</v>
      </c>
      <c r="M3424" s="1">
        <v>2.2100000000000002E-2</v>
      </c>
      <c r="N3424" s="1">
        <v>1.15E-2</v>
      </c>
      <c r="O3424" s="1">
        <v>7.7999999999999996E-3</v>
      </c>
      <c r="P3424" s="1">
        <v>6.0699999999999997E-2</v>
      </c>
      <c r="Q3424" s="1">
        <v>0.11890000000000001</v>
      </c>
      <c r="R3424" s="1">
        <v>7.7999999999999996E-3</v>
      </c>
      <c r="S3424" s="1">
        <v>0.2586</v>
      </c>
      <c r="V3424" s="1">
        <v>7.7899999999999997E-2</v>
      </c>
    </row>
    <row r="3425" spans="1:23" s="29" customFormat="1" x14ac:dyDescent="0.25">
      <c r="A3425" s="29" t="s">
        <v>198</v>
      </c>
      <c r="B3425" s="29" t="s">
        <v>349</v>
      </c>
      <c r="C3425" s="29">
        <v>3</v>
      </c>
      <c r="D3425" s="29" t="s">
        <v>197</v>
      </c>
      <c r="E3425" s="29">
        <v>2618</v>
      </c>
      <c r="H3425" s="30">
        <v>0.33329999999999999</v>
      </c>
      <c r="S3425" s="30">
        <v>0.66669999999999996</v>
      </c>
    </row>
    <row r="3426" spans="1:23" x14ac:dyDescent="0.25">
      <c r="A3426" t="s">
        <v>198</v>
      </c>
      <c r="B3426" t="s">
        <v>348</v>
      </c>
      <c r="C3426">
        <v>54</v>
      </c>
      <c r="D3426" t="s">
        <v>199</v>
      </c>
      <c r="E3426">
        <v>2618</v>
      </c>
      <c r="G3426" s="1">
        <v>0.14480000000000001</v>
      </c>
      <c r="H3426" s="1">
        <v>0.42909999999999998</v>
      </c>
      <c r="J3426" s="1">
        <v>7.6300000000000007E-2</v>
      </c>
      <c r="K3426" s="1">
        <v>3.8E-3</v>
      </c>
      <c r="L3426" s="1">
        <v>5.8999999999999999E-3</v>
      </c>
      <c r="M3426" s="1">
        <v>1.3599999999999999E-2</v>
      </c>
      <c r="N3426" s="1">
        <v>3.8E-3</v>
      </c>
      <c r="O3426" s="1">
        <v>0.13650000000000001</v>
      </c>
      <c r="Q3426" s="1">
        <v>2.8299999999999999E-2</v>
      </c>
      <c r="R3426" s="1">
        <v>1.09E-2</v>
      </c>
      <c r="S3426" s="1">
        <v>0.30980000000000002</v>
      </c>
      <c r="U3426" s="1">
        <v>1.44E-2</v>
      </c>
      <c r="V3426" s="1">
        <v>2.5600000000000001E-2</v>
      </c>
    </row>
    <row r="3427" spans="1:23" x14ac:dyDescent="0.25">
      <c r="A3427" t="s">
        <v>198</v>
      </c>
      <c r="B3427" t="s">
        <v>349</v>
      </c>
      <c r="C3427">
        <v>111</v>
      </c>
      <c r="D3427" t="s">
        <v>199</v>
      </c>
      <c r="E3427">
        <v>2618</v>
      </c>
      <c r="F3427" s="1">
        <v>2.87E-2</v>
      </c>
      <c r="G3427" s="1">
        <v>0.1022</v>
      </c>
      <c r="H3427" s="1">
        <v>0.32100000000000001</v>
      </c>
      <c r="I3427" s="1">
        <v>4.4000000000000003E-3</v>
      </c>
      <c r="J3427" s="1">
        <v>0.1239</v>
      </c>
      <c r="K3427" s="1">
        <v>5.28E-2</v>
      </c>
      <c r="L3427" s="1">
        <v>0.12189999999999999</v>
      </c>
      <c r="M3427" s="1">
        <v>3.7499999999999999E-2</v>
      </c>
      <c r="N3427" s="1">
        <v>3.9300000000000002E-2</v>
      </c>
      <c r="O3427" s="1">
        <v>8.8999999999999999E-3</v>
      </c>
      <c r="P3427" s="1">
        <v>2.76E-2</v>
      </c>
      <c r="Q3427" s="1">
        <v>0.1308</v>
      </c>
      <c r="R3427" s="1">
        <v>2.23E-2</v>
      </c>
      <c r="S3427" s="1">
        <v>0.31840000000000002</v>
      </c>
      <c r="U3427" s="1">
        <v>3.8699999999999998E-2</v>
      </c>
      <c r="V3427" s="1">
        <v>8.6199999999999999E-2</v>
      </c>
      <c r="W3427" s="1">
        <v>2E-3</v>
      </c>
    </row>
    <row r="3428" spans="1:23" x14ac:dyDescent="0.25">
      <c r="A3428" t="s">
        <v>198</v>
      </c>
      <c r="B3428" t="s">
        <v>350</v>
      </c>
      <c r="C3428">
        <v>193</v>
      </c>
      <c r="D3428" t="s">
        <v>199</v>
      </c>
      <c r="E3428">
        <v>2618</v>
      </c>
      <c r="F3428" s="1">
        <v>7.2700000000000001E-2</v>
      </c>
      <c r="G3428" s="1">
        <v>0.22109999999999999</v>
      </c>
      <c r="H3428" s="1">
        <v>0.1953</v>
      </c>
      <c r="J3428" s="1">
        <v>0.23369999999999999</v>
      </c>
      <c r="K3428" s="1">
        <v>7.9100000000000004E-2</v>
      </c>
      <c r="L3428" s="1">
        <v>1.8700000000000001E-2</v>
      </c>
      <c r="M3428" s="1">
        <v>6.0000000000000001E-3</v>
      </c>
      <c r="N3428" s="1">
        <v>1.09E-2</v>
      </c>
      <c r="O3428" s="1">
        <v>8.0999999999999996E-3</v>
      </c>
      <c r="P3428" s="1">
        <v>9.0200000000000002E-2</v>
      </c>
      <c r="Q3428" s="1">
        <v>9.6799999999999997E-2</v>
      </c>
      <c r="R3428" s="1">
        <v>8.0000000000000004E-4</v>
      </c>
      <c r="S3428" s="1">
        <v>0.37019999999999997</v>
      </c>
      <c r="T3428" s="1">
        <v>8.0000000000000004E-4</v>
      </c>
      <c r="U3428" s="1">
        <v>4.8999999999999998E-3</v>
      </c>
      <c r="V3428" s="1">
        <v>5.5E-2</v>
      </c>
    </row>
    <row r="3429" spans="1:23" x14ac:dyDescent="0.25">
      <c r="A3429" t="s">
        <v>198</v>
      </c>
      <c r="B3429" t="s">
        <v>350</v>
      </c>
      <c r="C3429">
        <v>77</v>
      </c>
      <c r="D3429" t="s">
        <v>200</v>
      </c>
      <c r="E3429">
        <v>2618</v>
      </c>
      <c r="F3429" s="1">
        <v>2.5100000000000001E-2</v>
      </c>
      <c r="G3429" s="1">
        <v>0.31369999999999998</v>
      </c>
      <c r="H3429" s="1">
        <v>7.9000000000000001E-2</v>
      </c>
      <c r="J3429" s="1">
        <v>0.05</v>
      </c>
      <c r="K3429" s="1">
        <v>4.24E-2</v>
      </c>
      <c r="M3429" s="1">
        <v>1.4E-3</v>
      </c>
      <c r="N3429" s="1">
        <v>1.0200000000000001E-2</v>
      </c>
      <c r="P3429" s="1">
        <v>0.12479999999999999</v>
      </c>
      <c r="Q3429" s="1">
        <v>1.4E-3</v>
      </c>
      <c r="S3429" s="1">
        <v>0.47920000000000001</v>
      </c>
      <c r="T3429" s="1">
        <v>3.32E-2</v>
      </c>
    </row>
    <row r="3430" spans="1:23" x14ac:dyDescent="0.25">
      <c r="A3430" t="s">
        <v>198</v>
      </c>
      <c r="B3430" t="s">
        <v>348</v>
      </c>
      <c r="C3430">
        <v>242</v>
      </c>
      <c r="D3430" t="s">
        <v>200</v>
      </c>
      <c r="E3430">
        <v>2618</v>
      </c>
      <c r="F3430" s="1">
        <v>6.88E-2</v>
      </c>
      <c r="G3430" s="1">
        <v>0.13669999999999999</v>
      </c>
      <c r="H3430" s="1">
        <v>0.31469999999999998</v>
      </c>
      <c r="I3430" s="1">
        <v>7.3000000000000001E-3</v>
      </c>
      <c r="J3430" s="1">
        <v>0.20430000000000001</v>
      </c>
      <c r="K3430" s="1">
        <v>2.8199999999999999E-2</v>
      </c>
      <c r="L3430" s="1">
        <v>1.5900000000000001E-2</v>
      </c>
      <c r="M3430" s="1">
        <v>1.01E-2</v>
      </c>
      <c r="N3430" s="1">
        <v>1.26E-2</v>
      </c>
      <c r="O3430" s="1">
        <v>8.6E-3</v>
      </c>
      <c r="P3430" s="1">
        <v>1.2200000000000001E-2</v>
      </c>
      <c r="Q3430" s="1">
        <v>0.1095</v>
      </c>
      <c r="R3430" s="1">
        <v>5.3E-3</v>
      </c>
      <c r="S3430" s="1">
        <v>0.32900000000000001</v>
      </c>
      <c r="U3430" s="1">
        <v>3.5999999999999999E-3</v>
      </c>
      <c r="V3430" s="1">
        <v>8.3199999999999996E-2</v>
      </c>
    </row>
    <row r="3431" spans="1:23" x14ac:dyDescent="0.25">
      <c r="A3431" t="s">
        <v>198</v>
      </c>
      <c r="B3431" t="s">
        <v>349</v>
      </c>
      <c r="C3431">
        <v>62</v>
      </c>
      <c r="D3431" t="s">
        <v>200</v>
      </c>
      <c r="E3431">
        <v>2618</v>
      </c>
      <c r="F3431" s="1">
        <v>7.6E-3</v>
      </c>
      <c r="G3431" s="1">
        <v>0.161</v>
      </c>
      <c r="H3431" s="1">
        <v>6.2100000000000002E-2</v>
      </c>
      <c r="I3431" s="1">
        <v>1.6999999999999999E-3</v>
      </c>
      <c r="J3431" s="1">
        <v>0.2266</v>
      </c>
      <c r="P3431" s="1">
        <v>3.1699999999999999E-2</v>
      </c>
      <c r="Q3431" s="1">
        <v>2.4E-2</v>
      </c>
      <c r="S3431" s="1">
        <v>0.54749999999999999</v>
      </c>
    </row>
    <row r="3432" spans="1:23" x14ac:dyDescent="0.25">
      <c r="A3432" t="s">
        <v>198</v>
      </c>
      <c r="B3432" t="s">
        <v>349</v>
      </c>
      <c r="C3432">
        <v>125</v>
      </c>
      <c r="D3432" t="s">
        <v>201</v>
      </c>
      <c r="E3432">
        <v>2618</v>
      </c>
      <c r="F3432" s="1">
        <v>6.93E-2</v>
      </c>
      <c r="G3432" s="1">
        <v>0.29470000000000002</v>
      </c>
      <c r="H3432" s="1">
        <v>0.14449999999999999</v>
      </c>
      <c r="I3432" s="1">
        <v>5.1999999999999998E-3</v>
      </c>
      <c r="J3432" s="1">
        <v>0.15770000000000001</v>
      </c>
      <c r="K3432" s="1">
        <v>2.1600000000000001E-2</v>
      </c>
      <c r="L3432" s="1">
        <v>5.1999999999999998E-3</v>
      </c>
      <c r="M3432" s="1">
        <v>2.5700000000000001E-2</v>
      </c>
      <c r="N3432" s="1">
        <v>5.0000000000000001E-4</v>
      </c>
      <c r="P3432" s="1">
        <v>1.0800000000000001E-2</v>
      </c>
      <c r="Q3432" s="1">
        <v>9.98E-2</v>
      </c>
      <c r="R3432" s="1">
        <v>1.3599999999999999E-2</v>
      </c>
      <c r="S3432" s="1">
        <v>0.40749999999999997</v>
      </c>
      <c r="U3432" s="1">
        <v>5.1999999999999998E-3</v>
      </c>
      <c r="V3432" s="1">
        <v>3.2399999999999998E-2</v>
      </c>
    </row>
    <row r="3433" spans="1:23" x14ac:dyDescent="0.25">
      <c r="A3433" t="s">
        <v>198</v>
      </c>
      <c r="B3433" t="s">
        <v>350</v>
      </c>
      <c r="C3433">
        <v>62</v>
      </c>
      <c r="D3433" t="s">
        <v>201</v>
      </c>
      <c r="E3433">
        <v>2618</v>
      </c>
      <c r="F3433" s="1">
        <v>0.21049999999999999</v>
      </c>
      <c r="G3433" s="1">
        <v>0.43869999999999998</v>
      </c>
      <c r="H3433" s="1">
        <v>0.2009</v>
      </c>
      <c r="J3433" s="1">
        <v>6.5000000000000002E-2</v>
      </c>
      <c r="L3433" s="1">
        <v>3.4700000000000002E-2</v>
      </c>
      <c r="O3433" s="1">
        <v>2.7699999999999999E-2</v>
      </c>
      <c r="P3433" s="1">
        <v>6.5000000000000002E-2</v>
      </c>
      <c r="Q3433" s="1">
        <v>4.3900000000000002E-2</v>
      </c>
      <c r="S3433" s="1">
        <v>0.31280000000000002</v>
      </c>
      <c r="V3433" s="1">
        <v>4.2599999999999999E-2</v>
      </c>
    </row>
    <row r="3434" spans="1:23" x14ac:dyDescent="0.25">
      <c r="A3434" t="s">
        <v>198</v>
      </c>
      <c r="B3434" t="s">
        <v>348</v>
      </c>
      <c r="C3434">
        <v>62</v>
      </c>
      <c r="D3434" t="s">
        <v>201</v>
      </c>
      <c r="E3434">
        <v>2618</v>
      </c>
      <c r="F3434" s="1">
        <v>2.7400000000000001E-2</v>
      </c>
      <c r="G3434" s="1">
        <v>0.104</v>
      </c>
      <c r="H3434" s="1">
        <v>0.11310000000000001</v>
      </c>
      <c r="I3434" s="1">
        <v>0.03</v>
      </c>
      <c r="J3434" s="1">
        <v>6.9699999999999998E-2</v>
      </c>
      <c r="M3434" s="1">
        <v>4.7999999999999996E-3</v>
      </c>
      <c r="P3434" s="1">
        <v>1.1299999999999999E-2</v>
      </c>
      <c r="Q3434" s="1">
        <v>9.7900000000000001E-2</v>
      </c>
      <c r="R3434" s="1">
        <v>1.7399999999999999E-2</v>
      </c>
      <c r="S3434" s="1">
        <v>0.61099999999999999</v>
      </c>
      <c r="U3434" s="1">
        <v>1.8800000000000001E-2</v>
      </c>
      <c r="V3434" s="1">
        <v>1.7399999999999999E-2</v>
      </c>
    </row>
    <row r="3435" spans="1:23" x14ac:dyDescent="0.25">
      <c r="A3435" t="s">
        <v>198</v>
      </c>
      <c r="B3435" t="s">
        <v>348</v>
      </c>
      <c r="C3435">
        <v>94</v>
      </c>
      <c r="D3435" t="s">
        <v>202</v>
      </c>
      <c r="E3435">
        <v>2618</v>
      </c>
      <c r="F3435" s="1">
        <v>2.7799999999999998E-2</v>
      </c>
      <c r="G3435" s="1">
        <v>0.1764</v>
      </c>
      <c r="H3435" s="1">
        <v>0.25629999999999997</v>
      </c>
      <c r="J3435" s="1">
        <v>7.9000000000000001E-2</v>
      </c>
      <c r="L3435" s="1">
        <v>1.67E-2</v>
      </c>
      <c r="M3435" s="1">
        <v>1.2500000000000001E-2</v>
      </c>
      <c r="N3435" s="1">
        <v>2.5999999999999999E-3</v>
      </c>
      <c r="O3435" s="1">
        <v>8.3000000000000001E-3</v>
      </c>
      <c r="P3435" s="1">
        <v>6.2E-2</v>
      </c>
      <c r="Q3435" s="1">
        <v>9.2700000000000005E-2</v>
      </c>
      <c r="R3435" s="1">
        <v>2.8899999999999999E-2</v>
      </c>
      <c r="S3435" s="1">
        <v>0.44850000000000001</v>
      </c>
    </row>
    <row r="3436" spans="1:23" x14ac:dyDescent="0.25">
      <c r="A3436" t="s">
        <v>203</v>
      </c>
      <c r="B3436" t="s">
        <v>349</v>
      </c>
      <c r="C3436">
        <v>169</v>
      </c>
      <c r="D3436" t="s">
        <v>199</v>
      </c>
      <c r="E3436">
        <v>2618</v>
      </c>
      <c r="F3436" s="1">
        <v>1.2999999999999999E-2</v>
      </c>
      <c r="G3436" s="1">
        <v>3.2500000000000001E-2</v>
      </c>
      <c r="H3436" s="1">
        <v>6.6E-3</v>
      </c>
      <c r="I3436" s="1">
        <v>3.3E-3</v>
      </c>
      <c r="L3436" s="1">
        <v>1.6000000000000001E-3</v>
      </c>
      <c r="M3436" s="1">
        <v>2.8E-3</v>
      </c>
      <c r="N3436" s="1">
        <v>1.6000000000000001E-3</v>
      </c>
      <c r="O3436" s="1">
        <v>1.6000000000000001E-3</v>
      </c>
      <c r="P3436" s="1">
        <v>1.6000000000000001E-3</v>
      </c>
      <c r="Q3436" s="1">
        <v>1.6000000000000001E-3</v>
      </c>
      <c r="R3436" s="1">
        <v>3.3E-3</v>
      </c>
      <c r="S3436" s="1">
        <v>0.95009999999999994</v>
      </c>
      <c r="T3436" s="1">
        <v>1.6000000000000001E-3</v>
      </c>
      <c r="U3436" s="1">
        <v>2.8E-3</v>
      </c>
      <c r="V3436" s="1">
        <v>6.9999999999999999E-4</v>
      </c>
    </row>
    <row r="3437" spans="1:23" x14ac:dyDescent="0.25">
      <c r="A3437" t="s">
        <v>203</v>
      </c>
      <c r="B3437" t="s">
        <v>348</v>
      </c>
      <c r="C3437">
        <v>42</v>
      </c>
      <c r="D3437" t="s">
        <v>199</v>
      </c>
      <c r="E3437">
        <v>2618</v>
      </c>
      <c r="I3437" s="1">
        <v>9.74E-2</v>
      </c>
      <c r="N3437" s="1">
        <v>5.1000000000000004E-3</v>
      </c>
      <c r="R3437" s="1">
        <v>9.74E-2</v>
      </c>
      <c r="S3437" s="1">
        <v>0.80020000000000002</v>
      </c>
    </row>
    <row r="3438" spans="1:23" x14ac:dyDescent="0.25">
      <c r="A3438" t="s">
        <v>203</v>
      </c>
      <c r="B3438" t="s">
        <v>350</v>
      </c>
      <c r="C3438">
        <v>303</v>
      </c>
      <c r="D3438" t="s">
        <v>199</v>
      </c>
      <c r="E3438">
        <v>2618</v>
      </c>
      <c r="F3438" s="1">
        <v>6.0299999999999999E-2</v>
      </c>
      <c r="G3438" s="1">
        <v>0.1198</v>
      </c>
      <c r="H3438" s="1">
        <v>1.95E-2</v>
      </c>
      <c r="I3438" s="1">
        <v>3.3999999999999998E-3</v>
      </c>
      <c r="J3438" s="1">
        <v>1.6000000000000001E-3</v>
      </c>
      <c r="L3438" s="1">
        <v>8.0000000000000004E-4</v>
      </c>
      <c r="M3438" s="1">
        <v>1.5100000000000001E-2</v>
      </c>
      <c r="N3438" s="1">
        <v>3.8E-3</v>
      </c>
      <c r="O3438" s="1">
        <v>1.6000000000000001E-3</v>
      </c>
      <c r="P3438" s="1">
        <v>1.6999999999999999E-3</v>
      </c>
      <c r="Q3438" s="1">
        <v>2.5000000000000001E-3</v>
      </c>
      <c r="R3438" s="1">
        <v>1.6999999999999999E-3</v>
      </c>
      <c r="S3438" s="1">
        <v>0.82169999999999999</v>
      </c>
      <c r="T3438" s="1">
        <v>2.5000000000000001E-3</v>
      </c>
      <c r="W3438" s="1">
        <v>1.35E-2</v>
      </c>
    </row>
    <row r="3439" spans="1:23" x14ac:dyDescent="0.25">
      <c r="A3439" t="s">
        <v>203</v>
      </c>
      <c r="B3439" t="s">
        <v>348</v>
      </c>
      <c r="C3439">
        <v>298</v>
      </c>
      <c r="D3439" t="s">
        <v>200</v>
      </c>
      <c r="E3439">
        <v>2618</v>
      </c>
      <c r="F3439" s="1">
        <v>7.6E-3</v>
      </c>
      <c r="G3439" s="1">
        <v>1.46E-2</v>
      </c>
      <c r="H3439" s="1">
        <v>1.9199999999999998E-2</v>
      </c>
      <c r="I3439" s="1">
        <v>4.4999999999999997E-3</v>
      </c>
      <c r="J3439" s="1">
        <v>1.03E-2</v>
      </c>
      <c r="K3439" s="1">
        <v>1.03E-2</v>
      </c>
      <c r="L3439" s="1">
        <v>2.2000000000000001E-3</v>
      </c>
      <c r="M3439" s="1">
        <v>4.8999999999999998E-3</v>
      </c>
      <c r="N3439" s="1">
        <v>5.4000000000000003E-3</v>
      </c>
      <c r="O3439" s="1">
        <v>2.7000000000000001E-3</v>
      </c>
      <c r="P3439" s="1">
        <v>2.2000000000000001E-3</v>
      </c>
      <c r="Q3439" s="1">
        <v>7.1000000000000004E-3</v>
      </c>
      <c r="S3439" s="1">
        <v>0.92579999999999996</v>
      </c>
      <c r="U3439" s="1">
        <v>1.03E-2</v>
      </c>
      <c r="V3439" s="1">
        <v>2.2000000000000001E-3</v>
      </c>
      <c r="W3439" s="1">
        <v>1.03E-2</v>
      </c>
    </row>
    <row r="3440" spans="1:23" x14ac:dyDescent="0.25">
      <c r="A3440" t="s">
        <v>203</v>
      </c>
      <c r="B3440" t="s">
        <v>349</v>
      </c>
      <c r="C3440">
        <v>108</v>
      </c>
      <c r="D3440" t="s">
        <v>200</v>
      </c>
      <c r="E3440">
        <v>2618</v>
      </c>
      <c r="G3440" s="1">
        <v>1.3899999999999999E-2</v>
      </c>
      <c r="J3440" s="1">
        <v>8.9999999999999998E-4</v>
      </c>
      <c r="N3440" s="1">
        <v>1.4E-3</v>
      </c>
      <c r="S3440" s="1">
        <v>0.98380000000000001</v>
      </c>
    </row>
    <row r="3441" spans="1:23" x14ac:dyDescent="0.25">
      <c r="A3441" t="s">
        <v>203</v>
      </c>
      <c r="B3441" t="s">
        <v>350</v>
      </c>
      <c r="C3441">
        <v>94</v>
      </c>
      <c r="D3441" t="s">
        <v>200</v>
      </c>
      <c r="E3441">
        <v>2618</v>
      </c>
      <c r="G3441" s="1">
        <v>5.5100000000000003E-2</v>
      </c>
      <c r="I3441" s="1">
        <v>1.55E-2</v>
      </c>
      <c r="J3441" s="1">
        <v>3.3999999999999998E-3</v>
      </c>
      <c r="K3441" s="1">
        <v>3.3999999999999998E-3</v>
      </c>
      <c r="N3441" s="1">
        <v>3.3999999999999998E-3</v>
      </c>
      <c r="S3441" s="1">
        <v>0.9204</v>
      </c>
      <c r="T3441" s="1">
        <v>3.3999999999999998E-3</v>
      </c>
      <c r="W3441" s="1">
        <v>2.2000000000000001E-3</v>
      </c>
    </row>
    <row r="3442" spans="1:23" x14ac:dyDescent="0.25">
      <c r="A3442" t="s">
        <v>203</v>
      </c>
      <c r="B3442" t="s">
        <v>348</v>
      </c>
      <c r="C3442">
        <v>62</v>
      </c>
      <c r="D3442" t="s">
        <v>201</v>
      </c>
      <c r="E3442">
        <v>2618</v>
      </c>
      <c r="G3442" s="1">
        <v>1.32E-2</v>
      </c>
      <c r="H3442" s="1">
        <v>1.32E-2</v>
      </c>
      <c r="S3442" s="1">
        <v>0.97350000000000003</v>
      </c>
    </row>
    <row r="3443" spans="1:23" x14ac:dyDescent="0.25">
      <c r="A3443" t="s">
        <v>203</v>
      </c>
      <c r="B3443" t="s">
        <v>349</v>
      </c>
      <c r="C3443">
        <v>147</v>
      </c>
      <c r="D3443" t="s">
        <v>201</v>
      </c>
      <c r="E3443">
        <v>2618</v>
      </c>
      <c r="F3443" s="1">
        <v>1.5299999999999999E-2</v>
      </c>
      <c r="G3443" s="1">
        <v>7.0199999999999999E-2</v>
      </c>
      <c r="H3443" s="1">
        <v>3.5000000000000001E-3</v>
      </c>
      <c r="L3443" s="1">
        <v>2.3E-3</v>
      </c>
      <c r="M3443" s="1">
        <v>8.8000000000000005E-3</v>
      </c>
      <c r="N3443" s="1">
        <v>8.8000000000000005E-3</v>
      </c>
      <c r="O3443" s="1">
        <v>2.5000000000000001E-3</v>
      </c>
      <c r="P3443" s="1">
        <v>1.1999999999999999E-3</v>
      </c>
      <c r="Q3443" s="1">
        <v>1.2699999999999999E-2</v>
      </c>
      <c r="S3443" s="1">
        <v>0.91039999999999999</v>
      </c>
      <c r="V3443" s="1">
        <v>2.0000000000000001E-4</v>
      </c>
    </row>
    <row r="3444" spans="1:23" x14ac:dyDescent="0.25">
      <c r="A3444" t="s">
        <v>203</v>
      </c>
      <c r="B3444" t="s">
        <v>350</v>
      </c>
      <c r="C3444">
        <v>103</v>
      </c>
      <c r="D3444" t="s">
        <v>201</v>
      </c>
      <c r="E3444">
        <v>2618</v>
      </c>
      <c r="F3444" s="1">
        <v>5.8299999999999998E-2</v>
      </c>
      <c r="G3444" s="1">
        <v>0.1691</v>
      </c>
      <c r="H3444" s="1">
        <v>0.1021</v>
      </c>
      <c r="J3444" s="1">
        <v>4.9599999999999998E-2</v>
      </c>
      <c r="N3444" s="1">
        <v>5.5999999999999999E-3</v>
      </c>
      <c r="P3444" s="1">
        <v>1.4E-2</v>
      </c>
      <c r="Q3444" s="1">
        <v>3.8699999999999998E-2</v>
      </c>
      <c r="S3444" s="1">
        <v>0.67330000000000001</v>
      </c>
      <c r="U3444" s="1">
        <v>2.8E-3</v>
      </c>
    </row>
    <row r="3445" spans="1:23" x14ac:dyDescent="0.25">
      <c r="A3445" t="s">
        <v>203</v>
      </c>
      <c r="B3445" t="s">
        <v>348</v>
      </c>
      <c r="C3445">
        <v>90</v>
      </c>
      <c r="D3445" t="s">
        <v>202</v>
      </c>
      <c r="E3445">
        <v>2618</v>
      </c>
      <c r="F3445" s="1">
        <v>8.8000000000000005E-3</v>
      </c>
      <c r="G3445" s="1">
        <v>1.7500000000000002E-2</v>
      </c>
      <c r="I3445" s="1">
        <v>8.8000000000000005E-3</v>
      </c>
      <c r="S3445" s="1">
        <v>0.97370000000000001</v>
      </c>
    </row>
    <row r="3446" spans="1:23" x14ac:dyDescent="0.25">
      <c r="A3446" t="s">
        <v>204</v>
      </c>
      <c r="B3446" t="s">
        <v>204</v>
      </c>
      <c r="C3446">
        <v>2618</v>
      </c>
      <c r="D3446" t="s">
        <v>204</v>
      </c>
      <c r="E3446">
        <v>2618</v>
      </c>
      <c r="F3446" s="1">
        <v>3.1E-2</v>
      </c>
      <c r="G3446" s="1">
        <v>0.1047</v>
      </c>
      <c r="H3446" s="1">
        <v>0.12709999999999999</v>
      </c>
      <c r="I3446" s="1">
        <v>4.4000000000000003E-3</v>
      </c>
      <c r="J3446" s="1">
        <v>7.3300000000000004E-2</v>
      </c>
      <c r="K3446" s="1">
        <v>1.55E-2</v>
      </c>
      <c r="L3446" s="1">
        <v>1.35E-2</v>
      </c>
      <c r="M3446" s="1">
        <v>1.03E-2</v>
      </c>
      <c r="N3446" s="1">
        <v>7.7000000000000002E-3</v>
      </c>
      <c r="O3446" s="1">
        <v>6.6E-3</v>
      </c>
      <c r="P3446" s="1">
        <v>1.9900000000000001E-2</v>
      </c>
      <c r="Q3446" s="1">
        <v>4.8399999999999999E-2</v>
      </c>
      <c r="R3446" s="1">
        <v>6.7000000000000002E-3</v>
      </c>
      <c r="S3446" s="1">
        <v>0.66559999999999997</v>
      </c>
      <c r="T3446" s="1">
        <v>5.9999999999999995E-4</v>
      </c>
      <c r="U3446" s="1">
        <v>6.4000000000000003E-3</v>
      </c>
      <c r="V3446" s="1">
        <v>2.41E-2</v>
      </c>
      <c r="W3446" s="1">
        <v>4.1000000000000003E-3</v>
      </c>
    </row>
    <row r="3448" spans="1:23" x14ac:dyDescent="0.25">
      <c r="A3448" t="s">
        <v>880</v>
      </c>
    </row>
    <row r="3449" spans="1:23" x14ac:dyDescent="0.25">
      <c r="A3449" t="s">
        <v>189</v>
      </c>
      <c r="B3449" t="s">
        <v>190</v>
      </c>
      <c r="C3449" t="s">
        <v>191</v>
      </c>
      <c r="D3449" t="s">
        <v>192</v>
      </c>
      <c r="E3449" t="s">
        <v>193</v>
      </c>
      <c r="F3449" t="s">
        <v>194</v>
      </c>
      <c r="G3449" t="s">
        <v>195</v>
      </c>
      <c r="H3449" t="s">
        <v>196</v>
      </c>
    </row>
    <row r="3450" spans="1:23" x14ac:dyDescent="0.25">
      <c r="A3450" t="s">
        <v>197</v>
      </c>
      <c r="B3450" t="s">
        <v>198</v>
      </c>
      <c r="C3450">
        <v>1.2566276676969079</v>
      </c>
      <c r="D3450">
        <v>0</v>
      </c>
      <c r="E3450">
        <v>0</v>
      </c>
      <c r="F3450">
        <v>10</v>
      </c>
      <c r="G3450">
        <v>77</v>
      </c>
      <c r="H3450">
        <v>2275</v>
      </c>
    </row>
    <row r="3451" spans="1:23" x14ac:dyDescent="0.25">
      <c r="A3451" t="s">
        <v>199</v>
      </c>
      <c r="B3451" t="s">
        <v>198</v>
      </c>
      <c r="C3451">
        <v>1.498353738104899</v>
      </c>
      <c r="D3451">
        <v>0</v>
      </c>
      <c r="E3451">
        <v>0</v>
      </c>
      <c r="F3451">
        <v>19</v>
      </c>
      <c r="G3451">
        <v>319</v>
      </c>
      <c r="H3451">
        <v>2275</v>
      </c>
    </row>
    <row r="3452" spans="1:23" x14ac:dyDescent="0.25">
      <c r="A3452" t="s">
        <v>200</v>
      </c>
      <c r="B3452" t="s">
        <v>198</v>
      </c>
      <c r="C3452">
        <v>1.5458011985726661</v>
      </c>
      <c r="D3452">
        <v>0</v>
      </c>
      <c r="E3452">
        <v>0</v>
      </c>
      <c r="F3452">
        <v>15</v>
      </c>
      <c r="G3452">
        <v>320</v>
      </c>
      <c r="H3452">
        <v>2275</v>
      </c>
    </row>
    <row r="3453" spans="1:23" x14ac:dyDescent="0.25">
      <c r="A3453" t="s">
        <v>201</v>
      </c>
      <c r="B3453" t="s">
        <v>198</v>
      </c>
      <c r="C3453">
        <v>1.62273676906206</v>
      </c>
      <c r="D3453">
        <v>1</v>
      </c>
      <c r="E3453">
        <v>0</v>
      </c>
      <c r="F3453">
        <v>12</v>
      </c>
      <c r="G3453">
        <v>216</v>
      </c>
      <c r="H3453">
        <v>2275</v>
      </c>
    </row>
    <row r="3454" spans="1:23" x14ac:dyDescent="0.25">
      <c r="A3454" t="s">
        <v>202</v>
      </c>
      <c r="B3454" t="s">
        <v>198</v>
      </c>
      <c r="C3454">
        <v>1.0438683987893289</v>
      </c>
      <c r="D3454">
        <v>0</v>
      </c>
      <c r="E3454">
        <v>0</v>
      </c>
      <c r="F3454">
        <v>10</v>
      </c>
      <c r="G3454">
        <v>89</v>
      </c>
      <c r="H3454">
        <v>2275</v>
      </c>
    </row>
    <row r="3455" spans="1:23" x14ac:dyDescent="0.25">
      <c r="A3455" t="s">
        <v>199</v>
      </c>
      <c r="B3455" t="s">
        <v>203</v>
      </c>
      <c r="C3455">
        <v>1.4291980226555341</v>
      </c>
      <c r="D3455">
        <v>1</v>
      </c>
      <c r="E3455">
        <v>0</v>
      </c>
      <c r="F3455">
        <v>18</v>
      </c>
      <c r="G3455">
        <v>445</v>
      </c>
      <c r="H3455">
        <v>2275</v>
      </c>
    </row>
    <row r="3456" spans="1:23" x14ac:dyDescent="0.25">
      <c r="A3456" t="s">
        <v>200</v>
      </c>
      <c r="B3456" t="s">
        <v>203</v>
      </c>
      <c r="C3456">
        <v>1.2983558053412629</v>
      </c>
      <c r="D3456">
        <v>0</v>
      </c>
      <c r="E3456">
        <v>0</v>
      </c>
      <c r="F3456">
        <v>14</v>
      </c>
      <c r="G3456">
        <v>448</v>
      </c>
      <c r="H3456">
        <v>2275</v>
      </c>
    </row>
    <row r="3457" spans="1:9" x14ac:dyDescent="0.25">
      <c r="A3457" t="s">
        <v>201</v>
      </c>
      <c r="B3457" t="s">
        <v>203</v>
      </c>
      <c r="C3457">
        <v>0.73162941639351242</v>
      </c>
      <c r="D3457">
        <v>0</v>
      </c>
      <c r="E3457">
        <v>0</v>
      </c>
      <c r="F3457">
        <v>11</v>
      </c>
      <c r="G3457">
        <v>277</v>
      </c>
      <c r="H3457">
        <v>2275</v>
      </c>
    </row>
    <row r="3458" spans="1:9" x14ac:dyDescent="0.25">
      <c r="A3458" t="s">
        <v>202</v>
      </c>
      <c r="B3458" t="s">
        <v>203</v>
      </c>
      <c r="C3458">
        <v>0.89422047153064199</v>
      </c>
      <c r="D3458">
        <v>0</v>
      </c>
      <c r="E3458">
        <v>0</v>
      </c>
      <c r="F3458">
        <v>15</v>
      </c>
      <c r="G3458">
        <v>84</v>
      </c>
      <c r="H3458">
        <v>2275</v>
      </c>
    </row>
    <row r="3459" spans="1:9" x14ac:dyDescent="0.25">
      <c r="A3459" t="s">
        <v>204</v>
      </c>
      <c r="B3459" t="s">
        <v>204</v>
      </c>
      <c r="C3459">
        <v>1.3032379702865979</v>
      </c>
      <c r="D3459">
        <v>0</v>
      </c>
      <c r="E3459">
        <v>0</v>
      </c>
      <c r="F3459">
        <v>19</v>
      </c>
      <c r="G3459">
        <v>2275</v>
      </c>
      <c r="H3459">
        <v>2275</v>
      </c>
    </row>
    <row r="3461" spans="1:9" x14ac:dyDescent="0.25">
      <c r="A3461" t="s">
        <v>881</v>
      </c>
    </row>
    <row r="3462" spans="1:9" x14ac:dyDescent="0.25">
      <c r="A3462" t="s">
        <v>190</v>
      </c>
      <c r="B3462" t="s">
        <v>195</v>
      </c>
      <c r="C3462" t="s">
        <v>189</v>
      </c>
      <c r="D3462" t="s">
        <v>196</v>
      </c>
      <c r="E3462" t="s">
        <v>220</v>
      </c>
      <c r="F3462" t="s">
        <v>207</v>
      </c>
      <c r="G3462" t="s">
        <v>882</v>
      </c>
      <c r="H3462" t="s">
        <v>883</v>
      </c>
      <c r="I3462" t="s">
        <v>884</v>
      </c>
    </row>
    <row r="3463" spans="1:9" x14ac:dyDescent="0.25">
      <c r="A3463" t="s">
        <v>198</v>
      </c>
      <c r="B3463">
        <v>82</v>
      </c>
      <c r="C3463" t="s">
        <v>197</v>
      </c>
      <c r="D3463">
        <v>2633</v>
      </c>
      <c r="E3463" s="1">
        <v>0.26440000000000002</v>
      </c>
      <c r="F3463" s="1">
        <v>0.71319999999999995</v>
      </c>
      <c r="H3463" s="1">
        <v>1.4999999999999999E-2</v>
      </c>
      <c r="I3463" s="1">
        <v>7.4999999999999997E-3</v>
      </c>
    </row>
    <row r="3464" spans="1:9" x14ac:dyDescent="0.25">
      <c r="A3464" t="s">
        <v>198</v>
      </c>
      <c r="B3464">
        <v>368</v>
      </c>
      <c r="C3464" t="s">
        <v>199</v>
      </c>
      <c r="D3464">
        <v>2633</v>
      </c>
      <c r="E3464" s="1">
        <v>0.26939999999999997</v>
      </c>
      <c r="F3464" s="1">
        <v>0.59060000000000001</v>
      </c>
      <c r="G3464" s="1">
        <v>2.9999999999999997E-4</v>
      </c>
      <c r="H3464" s="1">
        <v>0.1226</v>
      </c>
      <c r="I3464" s="1">
        <v>1.7100000000000001E-2</v>
      </c>
    </row>
    <row r="3465" spans="1:9" x14ac:dyDescent="0.25">
      <c r="A3465" t="s">
        <v>198</v>
      </c>
      <c r="B3465">
        <v>387</v>
      </c>
      <c r="C3465" t="s">
        <v>200</v>
      </c>
      <c r="D3465">
        <v>2633</v>
      </c>
      <c r="E3465" s="1">
        <v>0.27089999999999997</v>
      </c>
      <c r="F3465" s="1">
        <v>0.5736</v>
      </c>
      <c r="G3465" s="1">
        <v>1.6999999999999999E-3</v>
      </c>
      <c r="H3465" s="1">
        <v>0.12859999999999999</v>
      </c>
      <c r="I3465" s="1">
        <v>2.52E-2</v>
      </c>
    </row>
    <row r="3466" spans="1:9" x14ac:dyDescent="0.25">
      <c r="A3466" t="s">
        <v>198</v>
      </c>
      <c r="B3466">
        <v>256</v>
      </c>
      <c r="C3466" t="s">
        <v>201</v>
      </c>
      <c r="D3466">
        <v>2633</v>
      </c>
      <c r="E3466" s="1">
        <v>0.22420000000000001</v>
      </c>
      <c r="F3466" s="1">
        <v>0.61560000000000004</v>
      </c>
      <c r="H3466" s="1">
        <v>0.13900000000000001</v>
      </c>
      <c r="I3466" s="1">
        <v>2.1299999999999999E-2</v>
      </c>
    </row>
    <row r="3467" spans="1:9" x14ac:dyDescent="0.25">
      <c r="A3467" t="s">
        <v>198</v>
      </c>
      <c r="B3467">
        <v>96</v>
      </c>
      <c r="C3467" t="s">
        <v>202</v>
      </c>
      <c r="D3467">
        <v>2633</v>
      </c>
      <c r="E3467" s="1">
        <v>0.1057</v>
      </c>
      <c r="F3467" s="1">
        <v>0.87649999999999995</v>
      </c>
      <c r="H3467" s="1">
        <v>1.5299999999999999E-2</v>
      </c>
      <c r="I3467" s="1">
        <v>2.5000000000000001E-3</v>
      </c>
    </row>
    <row r="3468" spans="1:9" x14ac:dyDescent="0.25">
      <c r="A3468" t="s">
        <v>203</v>
      </c>
      <c r="B3468">
        <v>530</v>
      </c>
      <c r="C3468" t="s">
        <v>199</v>
      </c>
      <c r="D3468">
        <v>2633</v>
      </c>
      <c r="E3468" s="1">
        <v>0.2873</v>
      </c>
      <c r="F3468" s="1">
        <v>0.47610000000000002</v>
      </c>
      <c r="G3468" s="1">
        <v>1.8E-3</v>
      </c>
      <c r="H3468" s="1">
        <v>0.1883</v>
      </c>
      <c r="I3468" s="1">
        <v>4.65E-2</v>
      </c>
    </row>
    <row r="3469" spans="1:9" x14ac:dyDescent="0.25">
      <c r="A3469" t="s">
        <v>203</v>
      </c>
      <c r="B3469">
        <v>503</v>
      </c>
      <c r="C3469" t="s">
        <v>200</v>
      </c>
      <c r="D3469">
        <v>2633</v>
      </c>
      <c r="E3469" s="1">
        <v>0.24399999999999999</v>
      </c>
      <c r="F3469" s="1">
        <v>0.50719999999999998</v>
      </c>
      <c r="H3469" s="1">
        <v>0.218</v>
      </c>
      <c r="I3469" s="1">
        <v>3.0800000000000001E-2</v>
      </c>
    </row>
    <row r="3470" spans="1:9" x14ac:dyDescent="0.25">
      <c r="A3470" t="s">
        <v>203</v>
      </c>
      <c r="B3470">
        <v>321</v>
      </c>
      <c r="C3470" t="s">
        <v>201</v>
      </c>
      <c r="D3470">
        <v>2633</v>
      </c>
      <c r="E3470" s="1">
        <v>0.2195</v>
      </c>
      <c r="F3470" s="1">
        <v>0.61339999999999995</v>
      </c>
      <c r="H3470" s="1">
        <v>0.13450000000000001</v>
      </c>
      <c r="I3470" s="1">
        <v>3.2599999999999997E-2</v>
      </c>
    </row>
    <row r="3471" spans="1:9" x14ac:dyDescent="0.25">
      <c r="A3471" t="s">
        <v>203</v>
      </c>
      <c r="B3471">
        <v>90</v>
      </c>
      <c r="C3471" t="s">
        <v>202</v>
      </c>
      <c r="D3471">
        <v>2633</v>
      </c>
      <c r="E3471" s="1">
        <v>6.7400000000000002E-2</v>
      </c>
      <c r="F3471" s="1">
        <v>0.91039999999999999</v>
      </c>
      <c r="H3471" s="1">
        <v>1.8499999999999999E-2</v>
      </c>
      <c r="I3471" s="1">
        <v>3.7000000000000002E-3</v>
      </c>
    </row>
    <row r="3472" spans="1:9" x14ac:dyDescent="0.25">
      <c r="A3472" t="s">
        <v>204</v>
      </c>
      <c r="B3472">
        <v>2633</v>
      </c>
      <c r="C3472" t="s">
        <v>204</v>
      </c>
      <c r="D3472">
        <v>2633</v>
      </c>
      <c r="E3472" s="1">
        <v>0.23330000000000001</v>
      </c>
      <c r="F3472" s="1">
        <v>0.60150000000000003</v>
      </c>
      <c r="G3472" s="1">
        <v>5.0000000000000001E-4</v>
      </c>
      <c r="H3472" s="1">
        <v>0.14019999999999999</v>
      </c>
      <c r="I3472" s="1">
        <v>2.4500000000000001E-2</v>
      </c>
    </row>
    <row r="3474" spans="1:12" x14ac:dyDescent="0.25">
      <c r="A3474" t="s">
        <v>885</v>
      </c>
    </row>
    <row r="3475" spans="1:12" x14ac:dyDescent="0.25">
      <c r="A3475" t="s">
        <v>190</v>
      </c>
      <c r="B3475" t="s">
        <v>195</v>
      </c>
      <c r="C3475" t="s">
        <v>189</v>
      </c>
      <c r="D3475" t="s">
        <v>196</v>
      </c>
      <c r="E3475" t="s">
        <v>220</v>
      </c>
      <c r="F3475" t="s">
        <v>886</v>
      </c>
      <c r="G3475" t="s">
        <v>887</v>
      </c>
    </row>
    <row r="3476" spans="1:12" s="29" customFormat="1" x14ac:dyDescent="0.25">
      <c r="A3476" s="29" t="s">
        <v>198</v>
      </c>
      <c r="B3476" s="29">
        <v>3</v>
      </c>
      <c r="C3476" s="29" t="s">
        <v>197</v>
      </c>
      <c r="D3476" s="29">
        <v>709</v>
      </c>
      <c r="E3476" s="30">
        <v>0.33329999999999999</v>
      </c>
      <c r="G3476" s="30">
        <v>0.66669999999999996</v>
      </c>
    </row>
    <row r="3477" spans="1:12" x14ac:dyDescent="0.25">
      <c r="A3477" t="s">
        <v>198</v>
      </c>
      <c r="B3477">
        <v>72</v>
      </c>
      <c r="C3477" t="s">
        <v>199</v>
      </c>
      <c r="D3477">
        <v>709</v>
      </c>
      <c r="E3477" s="1">
        <v>6.4899999999999999E-2</v>
      </c>
      <c r="F3477" s="1">
        <v>0.1991</v>
      </c>
      <c r="G3477" s="1">
        <v>0.73609999999999998</v>
      </c>
    </row>
    <row r="3478" spans="1:12" x14ac:dyDescent="0.25">
      <c r="A3478" t="s">
        <v>198</v>
      </c>
      <c r="B3478">
        <v>72</v>
      </c>
      <c r="C3478" t="s">
        <v>200</v>
      </c>
      <c r="D3478">
        <v>709</v>
      </c>
      <c r="E3478" s="1">
        <v>0.10829999999999999</v>
      </c>
      <c r="F3478" s="1">
        <v>0.1246</v>
      </c>
      <c r="G3478" s="1">
        <v>0.76700000000000002</v>
      </c>
    </row>
    <row r="3479" spans="1:12" x14ac:dyDescent="0.25">
      <c r="A3479" t="s">
        <v>198</v>
      </c>
      <c r="B3479">
        <v>74</v>
      </c>
      <c r="C3479" t="s">
        <v>201</v>
      </c>
      <c r="D3479">
        <v>709</v>
      </c>
      <c r="E3479" s="1">
        <v>4.1999999999999997E-3</v>
      </c>
      <c r="F3479" s="1">
        <v>0.22070000000000001</v>
      </c>
      <c r="G3479" s="1">
        <v>0.77510000000000001</v>
      </c>
    </row>
    <row r="3480" spans="1:12" s="29" customFormat="1" x14ac:dyDescent="0.25">
      <c r="A3480" s="29" t="s">
        <v>198</v>
      </c>
      <c r="B3480" s="29">
        <v>2</v>
      </c>
      <c r="C3480" s="29" t="s">
        <v>202</v>
      </c>
      <c r="D3480" s="29">
        <v>709</v>
      </c>
      <c r="G3480" s="30">
        <v>1</v>
      </c>
    </row>
    <row r="3481" spans="1:12" x14ac:dyDescent="0.25">
      <c r="A3481" t="s">
        <v>203</v>
      </c>
      <c r="B3481">
        <v>193</v>
      </c>
      <c r="C3481" t="s">
        <v>199</v>
      </c>
      <c r="D3481">
        <v>709</v>
      </c>
      <c r="E3481" s="1">
        <v>5.96E-2</v>
      </c>
      <c r="F3481" s="1">
        <v>5.2299999999999999E-2</v>
      </c>
      <c r="G3481" s="1">
        <v>0.8881</v>
      </c>
    </row>
    <row r="3482" spans="1:12" x14ac:dyDescent="0.25">
      <c r="A3482" t="s">
        <v>203</v>
      </c>
      <c r="B3482">
        <v>159</v>
      </c>
      <c r="C3482" t="s">
        <v>200</v>
      </c>
      <c r="D3482">
        <v>709</v>
      </c>
      <c r="E3482" s="1">
        <v>6.59E-2</v>
      </c>
      <c r="F3482" s="1">
        <v>0.1174</v>
      </c>
      <c r="G3482" s="1">
        <v>0.81669999999999998</v>
      </c>
    </row>
    <row r="3483" spans="1:12" x14ac:dyDescent="0.25">
      <c r="A3483" t="s">
        <v>203</v>
      </c>
      <c r="B3483">
        <v>132</v>
      </c>
      <c r="C3483" t="s">
        <v>201</v>
      </c>
      <c r="D3483">
        <v>709</v>
      </c>
      <c r="E3483" s="1">
        <v>3.4599999999999999E-2</v>
      </c>
      <c r="F3483" s="1">
        <v>9.5100000000000004E-2</v>
      </c>
      <c r="G3483" s="1">
        <v>0.87029999999999996</v>
      </c>
    </row>
    <row r="3484" spans="1:12" s="29" customFormat="1" x14ac:dyDescent="0.25">
      <c r="A3484" s="29" t="s">
        <v>203</v>
      </c>
      <c r="B3484" s="29">
        <v>2</v>
      </c>
      <c r="C3484" s="29" t="s">
        <v>202</v>
      </c>
      <c r="D3484" s="29">
        <v>709</v>
      </c>
      <c r="F3484" s="30">
        <v>0.83199999999999996</v>
      </c>
      <c r="G3484" s="30">
        <v>0.16800000000000001</v>
      </c>
    </row>
    <row r="3485" spans="1:12" x14ac:dyDescent="0.25">
      <c r="A3485" t="s">
        <v>204</v>
      </c>
      <c r="B3485">
        <v>709</v>
      </c>
      <c r="C3485" t="s">
        <v>204</v>
      </c>
      <c r="D3485">
        <v>709</v>
      </c>
      <c r="E3485" s="1">
        <v>6.6299999999999998E-2</v>
      </c>
      <c r="F3485" s="1">
        <v>0.1208</v>
      </c>
      <c r="G3485" s="1">
        <v>0.81279999999999997</v>
      </c>
    </row>
    <row r="3487" spans="1:12" x14ac:dyDescent="0.25">
      <c r="A3487" t="s">
        <v>888</v>
      </c>
    </row>
    <row r="3488" spans="1:12" x14ac:dyDescent="0.25">
      <c r="A3488" t="s">
        <v>190</v>
      </c>
      <c r="B3488" t="s">
        <v>195</v>
      </c>
      <c r="C3488" t="s">
        <v>189</v>
      </c>
      <c r="D3488" t="s">
        <v>196</v>
      </c>
      <c r="E3488" t="s">
        <v>889</v>
      </c>
      <c r="F3488" t="s">
        <v>220</v>
      </c>
      <c r="G3488" t="s">
        <v>890</v>
      </c>
      <c r="H3488" t="s">
        <v>891</v>
      </c>
      <c r="I3488" t="s">
        <v>892</v>
      </c>
      <c r="J3488" t="s">
        <v>893</v>
      </c>
      <c r="K3488" t="s">
        <v>894</v>
      </c>
      <c r="L3488" t="s">
        <v>235</v>
      </c>
    </row>
    <row r="3489" spans="1:13" x14ac:dyDescent="0.25">
      <c r="A3489" t="s">
        <v>198</v>
      </c>
      <c r="B3489">
        <v>82</v>
      </c>
      <c r="C3489" t="s">
        <v>197</v>
      </c>
      <c r="D3489">
        <v>2633</v>
      </c>
      <c r="E3489" s="1">
        <v>0.11409999999999999</v>
      </c>
      <c r="G3489" s="1">
        <v>4.8300000000000003E-2</v>
      </c>
      <c r="I3489" s="1">
        <v>0.81910000000000005</v>
      </c>
      <c r="J3489" s="1">
        <v>1.8499999999999999E-2</v>
      </c>
    </row>
    <row r="3490" spans="1:13" x14ac:dyDescent="0.25">
      <c r="A3490" t="s">
        <v>198</v>
      </c>
      <c r="B3490">
        <v>368</v>
      </c>
      <c r="C3490" t="s">
        <v>199</v>
      </c>
      <c r="D3490">
        <v>2633</v>
      </c>
      <c r="E3490" s="1">
        <v>1.2800000000000001E-2</v>
      </c>
      <c r="G3490" s="1">
        <v>7.4999999999999997E-2</v>
      </c>
      <c r="I3490" s="1">
        <v>0.88249999999999995</v>
      </c>
      <c r="J3490" s="1">
        <v>2.7799999999999998E-2</v>
      </c>
      <c r="L3490" s="1">
        <v>2E-3</v>
      </c>
    </row>
    <row r="3491" spans="1:13" x14ac:dyDescent="0.25">
      <c r="A3491" t="s">
        <v>198</v>
      </c>
      <c r="B3491">
        <v>387</v>
      </c>
      <c r="C3491" t="s">
        <v>200</v>
      </c>
      <c r="D3491">
        <v>2633</v>
      </c>
      <c r="E3491" s="1">
        <v>6.3E-3</v>
      </c>
      <c r="G3491" s="1">
        <v>7.4499999999999997E-2</v>
      </c>
      <c r="I3491" s="1">
        <v>0.8206</v>
      </c>
      <c r="J3491" s="1">
        <v>9.4E-2</v>
      </c>
      <c r="L3491" s="1">
        <v>4.5999999999999999E-3</v>
      </c>
    </row>
    <row r="3492" spans="1:13" x14ac:dyDescent="0.25">
      <c r="A3492" t="s">
        <v>198</v>
      </c>
      <c r="B3492">
        <v>256</v>
      </c>
      <c r="C3492" t="s">
        <v>201</v>
      </c>
      <c r="D3492">
        <v>2633</v>
      </c>
      <c r="E3492" s="1">
        <v>1.35E-2</v>
      </c>
      <c r="G3492" s="1">
        <v>6.9900000000000004E-2</v>
      </c>
      <c r="I3492" s="1">
        <v>0.81620000000000004</v>
      </c>
      <c r="J3492" s="1">
        <v>0.1003</v>
      </c>
    </row>
    <row r="3493" spans="1:13" x14ac:dyDescent="0.25">
      <c r="A3493" t="s">
        <v>198</v>
      </c>
      <c r="B3493">
        <v>96</v>
      </c>
      <c r="C3493" t="s">
        <v>202</v>
      </c>
      <c r="D3493">
        <v>2633</v>
      </c>
      <c r="E3493" s="1">
        <v>4.6300000000000001E-2</v>
      </c>
      <c r="G3493" s="1">
        <v>7.1099999999999997E-2</v>
      </c>
      <c r="I3493" s="1">
        <v>0.76290000000000002</v>
      </c>
      <c r="J3493" s="1">
        <v>9.0800000000000006E-2</v>
      </c>
      <c r="L3493" s="1">
        <v>2.8899999999999999E-2</v>
      </c>
    </row>
    <row r="3494" spans="1:13" x14ac:dyDescent="0.25">
      <c r="A3494" t="s">
        <v>203</v>
      </c>
      <c r="B3494">
        <v>530</v>
      </c>
      <c r="C3494" t="s">
        <v>199</v>
      </c>
      <c r="D3494">
        <v>2633</v>
      </c>
      <c r="E3494" s="1">
        <v>5.0000000000000001E-4</v>
      </c>
      <c r="F3494" s="1">
        <v>5.0000000000000001E-4</v>
      </c>
      <c r="G3494" s="1">
        <v>4.8999999999999998E-3</v>
      </c>
      <c r="H3494" s="1">
        <v>3.7000000000000002E-3</v>
      </c>
      <c r="I3494" s="1">
        <v>0.94679999999999997</v>
      </c>
      <c r="J3494" s="1">
        <v>4.2900000000000001E-2</v>
      </c>
      <c r="L3494" s="1">
        <v>5.9999999999999995E-4</v>
      </c>
    </row>
    <row r="3495" spans="1:13" x14ac:dyDescent="0.25">
      <c r="A3495" t="s">
        <v>203</v>
      </c>
      <c r="B3495">
        <v>503</v>
      </c>
      <c r="C3495" t="s">
        <v>200</v>
      </c>
      <c r="D3495">
        <v>2633</v>
      </c>
      <c r="G3495" s="1">
        <v>2.3E-3</v>
      </c>
      <c r="H3495" s="1">
        <v>3.0000000000000001E-3</v>
      </c>
      <c r="I3495" s="1">
        <v>0.93500000000000005</v>
      </c>
      <c r="J3495" s="1">
        <v>5.57E-2</v>
      </c>
      <c r="K3495" s="1">
        <v>3.8999999999999998E-3</v>
      </c>
    </row>
    <row r="3496" spans="1:13" x14ac:dyDescent="0.25">
      <c r="A3496" t="s">
        <v>203</v>
      </c>
      <c r="B3496">
        <v>321</v>
      </c>
      <c r="C3496" t="s">
        <v>201</v>
      </c>
      <c r="D3496">
        <v>2633</v>
      </c>
      <c r="G3496" s="1">
        <v>1.06E-2</v>
      </c>
      <c r="H3496" s="1">
        <v>3.2000000000000002E-3</v>
      </c>
      <c r="I3496" s="1">
        <v>0.91549999999999998</v>
      </c>
      <c r="J3496" s="1">
        <v>6.3799999999999996E-2</v>
      </c>
      <c r="L3496" s="1">
        <v>7.0000000000000001E-3</v>
      </c>
    </row>
    <row r="3497" spans="1:13" x14ac:dyDescent="0.25">
      <c r="A3497" t="s">
        <v>203</v>
      </c>
      <c r="B3497">
        <v>90</v>
      </c>
      <c r="C3497" t="s">
        <v>202</v>
      </c>
      <c r="D3497">
        <v>2633</v>
      </c>
      <c r="I3497" s="1">
        <v>0.94079999999999997</v>
      </c>
      <c r="J3497" s="1">
        <v>5.9200000000000003E-2</v>
      </c>
    </row>
    <row r="3498" spans="1:13" x14ac:dyDescent="0.25">
      <c r="A3498" t="s">
        <v>204</v>
      </c>
      <c r="B3498">
        <v>2633</v>
      </c>
      <c r="C3498" t="s">
        <v>204</v>
      </c>
      <c r="D3498">
        <v>2633</v>
      </c>
      <c r="E3498" s="1">
        <v>1.49E-2</v>
      </c>
      <c r="F3498" s="1">
        <v>1E-4</v>
      </c>
      <c r="G3498" s="1">
        <v>3.3799999999999997E-2</v>
      </c>
      <c r="H3498" s="1">
        <v>1.6000000000000001E-3</v>
      </c>
      <c r="I3498" s="1">
        <v>0.88539999999999996</v>
      </c>
      <c r="J3498" s="1">
        <v>5.8900000000000001E-2</v>
      </c>
      <c r="K3498" s="1">
        <v>1.1999999999999999E-3</v>
      </c>
      <c r="L3498" s="1">
        <v>4.0000000000000001E-3</v>
      </c>
    </row>
    <row r="3500" spans="1:13" x14ac:dyDescent="0.25">
      <c r="A3500" t="s">
        <v>895</v>
      </c>
    </row>
    <row r="3501" spans="1:13" x14ac:dyDescent="0.25">
      <c r="A3501" t="s">
        <v>190</v>
      </c>
      <c r="B3501" t="s">
        <v>206</v>
      </c>
      <c r="C3501" t="s">
        <v>195</v>
      </c>
      <c r="D3501" t="s">
        <v>189</v>
      </c>
      <c r="E3501" t="s">
        <v>196</v>
      </c>
      <c r="F3501" t="s">
        <v>889</v>
      </c>
      <c r="G3501" t="s">
        <v>220</v>
      </c>
      <c r="H3501" t="s">
        <v>890</v>
      </c>
      <c r="I3501" t="s">
        <v>891</v>
      </c>
      <c r="J3501" t="s">
        <v>892</v>
      </c>
      <c r="K3501" t="s">
        <v>893</v>
      </c>
      <c r="L3501" t="s">
        <v>894</v>
      </c>
      <c r="M3501" t="s">
        <v>235</v>
      </c>
    </row>
    <row r="3502" spans="1:13" x14ac:dyDescent="0.25">
      <c r="A3502" t="s">
        <v>198</v>
      </c>
      <c r="B3502" t="s">
        <v>228</v>
      </c>
      <c r="C3502">
        <v>33</v>
      </c>
      <c r="D3502" t="s">
        <v>197</v>
      </c>
      <c r="E3502">
        <v>2633</v>
      </c>
      <c r="F3502" s="1">
        <v>4.2900000000000001E-2</v>
      </c>
      <c r="H3502" s="1">
        <v>3.1800000000000002E-2</v>
      </c>
      <c r="J3502" s="1">
        <v>0.90800000000000003</v>
      </c>
      <c r="K3502" s="1">
        <v>1.7299999999999999E-2</v>
      </c>
    </row>
    <row r="3503" spans="1:13" x14ac:dyDescent="0.25">
      <c r="A3503" t="s">
        <v>198</v>
      </c>
      <c r="B3503" t="s">
        <v>229</v>
      </c>
      <c r="C3503">
        <v>49</v>
      </c>
      <c r="D3503" t="s">
        <v>197</v>
      </c>
      <c r="E3503">
        <v>2633</v>
      </c>
      <c r="F3503" s="1">
        <v>0.16830000000000001</v>
      </c>
      <c r="H3503" s="1">
        <v>6.08E-2</v>
      </c>
      <c r="J3503" s="1">
        <v>0.75149999999999995</v>
      </c>
      <c r="K3503" s="1">
        <v>1.9400000000000001E-2</v>
      </c>
    </row>
    <row r="3504" spans="1:13" x14ac:dyDescent="0.25">
      <c r="A3504" t="s">
        <v>198</v>
      </c>
      <c r="B3504" t="s">
        <v>228</v>
      </c>
      <c r="C3504">
        <v>145</v>
      </c>
      <c r="D3504" t="s">
        <v>199</v>
      </c>
      <c r="E3504">
        <v>2633</v>
      </c>
      <c r="F3504" s="1">
        <v>1.89E-2</v>
      </c>
      <c r="H3504" s="1">
        <v>0.1239</v>
      </c>
      <c r="J3504" s="1">
        <v>0.82709999999999995</v>
      </c>
      <c r="K3504" s="1">
        <v>3.0099999999999998E-2</v>
      </c>
    </row>
    <row r="3505" spans="1:13" x14ac:dyDescent="0.25">
      <c r="A3505" t="s">
        <v>198</v>
      </c>
      <c r="B3505" t="s">
        <v>229</v>
      </c>
      <c r="C3505">
        <v>213</v>
      </c>
      <c r="D3505" t="s">
        <v>199</v>
      </c>
      <c r="E3505">
        <v>2633</v>
      </c>
      <c r="F3505" s="1">
        <v>1.0800000000000001E-2</v>
      </c>
      <c r="H3505" s="1">
        <v>5.7500000000000002E-2</v>
      </c>
      <c r="J3505" s="1">
        <v>0.90180000000000005</v>
      </c>
      <c r="K3505" s="1">
        <v>2.7199999999999998E-2</v>
      </c>
      <c r="M3505" s="1">
        <v>2.7000000000000001E-3</v>
      </c>
    </row>
    <row r="3506" spans="1:13" x14ac:dyDescent="0.25">
      <c r="A3506" t="s">
        <v>198</v>
      </c>
      <c r="B3506" t="s">
        <v>229</v>
      </c>
      <c r="C3506">
        <v>270</v>
      </c>
      <c r="D3506" t="s">
        <v>200</v>
      </c>
      <c r="E3506">
        <v>2633</v>
      </c>
      <c r="F3506" s="1">
        <v>6.0000000000000001E-3</v>
      </c>
      <c r="H3506" s="1">
        <v>6.7799999999999999E-2</v>
      </c>
      <c r="J3506" s="1">
        <v>0.81369999999999998</v>
      </c>
      <c r="K3506" s="1">
        <v>0.1065</v>
      </c>
      <c r="M3506" s="1">
        <v>6.0000000000000001E-3</v>
      </c>
    </row>
    <row r="3507" spans="1:13" x14ac:dyDescent="0.25">
      <c r="A3507" t="s">
        <v>198</v>
      </c>
      <c r="B3507" t="s">
        <v>228</v>
      </c>
      <c r="C3507">
        <v>112</v>
      </c>
      <c r="D3507" t="s">
        <v>200</v>
      </c>
      <c r="E3507">
        <v>2633</v>
      </c>
      <c r="F3507" s="1">
        <v>7.4999999999999997E-3</v>
      </c>
      <c r="H3507" s="1">
        <v>9.9099999999999994E-2</v>
      </c>
      <c r="J3507" s="1">
        <v>0.84740000000000004</v>
      </c>
      <c r="K3507" s="1">
        <v>4.5999999999999999E-2</v>
      </c>
    </row>
    <row r="3508" spans="1:13" x14ac:dyDescent="0.25">
      <c r="A3508" t="s">
        <v>198</v>
      </c>
      <c r="B3508" t="s">
        <v>228</v>
      </c>
      <c r="C3508">
        <v>95</v>
      </c>
      <c r="D3508" t="s">
        <v>201</v>
      </c>
      <c r="E3508">
        <v>2633</v>
      </c>
      <c r="F3508" s="1">
        <v>5.7999999999999996E-3</v>
      </c>
      <c r="H3508" s="1">
        <v>0.1522</v>
      </c>
      <c r="J3508" s="1">
        <v>0.7621</v>
      </c>
      <c r="K3508" s="1">
        <v>7.9799999999999996E-2</v>
      </c>
    </row>
    <row r="3509" spans="1:13" x14ac:dyDescent="0.25">
      <c r="A3509" t="s">
        <v>198</v>
      </c>
      <c r="B3509" t="s">
        <v>229</v>
      </c>
      <c r="C3509">
        <v>155</v>
      </c>
      <c r="D3509" t="s">
        <v>201</v>
      </c>
      <c r="E3509">
        <v>2633</v>
      </c>
      <c r="F3509" s="1">
        <v>1.5800000000000002E-2</v>
      </c>
      <c r="H3509" s="1">
        <v>4.7899999999999998E-2</v>
      </c>
      <c r="J3509" s="1">
        <v>0.82899999999999996</v>
      </c>
      <c r="K3509" s="1">
        <v>0.10730000000000001</v>
      </c>
    </row>
    <row r="3510" spans="1:13" s="29" customFormat="1" x14ac:dyDescent="0.25">
      <c r="A3510" s="29" t="s">
        <v>198</v>
      </c>
      <c r="B3510" s="29" t="s">
        <v>228</v>
      </c>
      <c r="C3510" s="29">
        <v>28</v>
      </c>
      <c r="D3510" s="29" t="s">
        <v>202</v>
      </c>
      <c r="E3510" s="29">
        <v>2633</v>
      </c>
      <c r="F3510" s="30">
        <v>0.14069999999999999</v>
      </c>
      <c r="H3510" s="30">
        <v>0.14510000000000001</v>
      </c>
      <c r="J3510" s="30">
        <v>0.48149999999999998</v>
      </c>
      <c r="K3510" s="30">
        <v>0.23269999999999999</v>
      </c>
    </row>
    <row r="3511" spans="1:13" x14ac:dyDescent="0.25">
      <c r="A3511" t="s">
        <v>198</v>
      </c>
      <c r="B3511" t="s">
        <v>229</v>
      </c>
      <c r="C3511">
        <v>68</v>
      </c>
      <c r="D3511" t="s">
        <v>202</v>
      </c>
      <c r="E3511">
        <v>2633</v>
      </c>
      <c r="F3511" s="1">
        <v>1.7100000000000001E-2</v>
      </c>
      <c r="H3511" s="1">
        <v>4.82E-2</v>
      </c>
      <c r="J3511" s="1">
        <v>0.85</v>
      </c>
      <c r="K3511" s="1">
        <v>4.6899999999999997E-2</v>
      </c>
      <c r="M3511" s="1">
        <v>3.78E-2</v>
      </c>
    </row>
    <row r="3512" spans="1:13" x14ac:dyDescent="0.25">
      <c r="A3512" t="s">
        <v>203</v>
      </c>
      <c r="B3512" t="s">
        <v>229</v>
      </c>
      <c r="C3512">
        <v>370</v>
      </c>
      <c r="D3512" t="s">
        <v>199</v>
      </c>
      <c r="E3512">
        <v>2633</v>
      </c>
      <c r="F3512" s="1">
        <v>5.9999999999999995E-4</v>
      </c>
      <c r="G3512" s="1">
        <v>5.9999999999999995E-4</v>
      </c>
      <c r="H3512" s="1">
        <v>3.0000000000000001E-3</v>
      </c>
      <c r="I3512" s="1">
        <v>2.3E-3</v>
      </c>
      <c r="J3512" s="1">
        <v>0.94730000000000003</v>
      </c>
      <c r="K3512" s="1">
        <v>4.6199999999999998E-2</v>
      </c>
    </row>
    <row r="3513" spans="1:13" x14ac:dyDescent="0.25">
      <c r="A3513" t="s">
        <v>203</v>
      </c>
      <c r="B3513" t="s">
        <v>228</v>
      </c>
      <c r="C3513">
        <v>150</v>
      </c>
      <c r="D3513" t="s">
        <v>199</v>
      </c>
      <c r="E3513">
        <v>2633</v>
      </c>
      <c r="H3513" s="1">
        <v>2.1499999999999998E-2</v>
      </c>
      <c r="I3513" s="1">
        <v>1.54E-2</v>
      </c>
      <c r="J3513" s="1">
        <v>0.94569999999999999</v>
      </c>
      <c r="K3513" s="1">
        <v>1.15E-2</v>
      </c>
      <c r="M3513" s="1">
        <v>5.8999999999999999E-3</v>
      </c>
    </row>
    <row r="3514" spans="1:13" x14ac:dyDescent="0.25">
      <c r="A3514" t="s">
        <v>203</v>
      </c>
      <c r="B3514" t="s">
        <v>229</v>
      </c>
      <c r="C3514">
        <v>347</v>
      </c>
      <c r="D3514" t="s">
        <v>200</v>
      </c>
      <c r="E3514">
        <v>2633</v>
      </c>
      <c r="I3514" s="1">
        <v>3.7000000000000002E-3</v>
      </c>
      <c r="J3514" s="1">
        <v>0.92720000000000002</v>
      </c>
      <c r="K3514" s="1">
        <v>6.6699999999999995E-2</v>
      </c>
      <c r="L3514" s="1">
        <v>2.3999999999999998E-3</v>
      </c>
    </row>
    <row r="3515" spans="1:13" x14ac:dyDescent="0.25">
      <c r="A3515" t="s">
        <v>203</v>
      </c>
      <c r="B3515" t="s">
        <v>228</v>
      </c>
      <c r="C3515">
        <v>155</v>
      </c>
      <c r="D3515" t="s">
        <v>200</v>
      </c>
      <c r="E3515">
        <v>2633</v>
      </c>
      <c r="H3515" s="1">
        <v>1.17E-2</v>
      </c>
      <c r="J3515" s="1">
        <v>0.96789999999999998</v>
      </c>
      <c r="K3515" s="1">
        <v>1.0200000000000001E-2</v>
      </c>
      <c r="L3515" s="1">
        <v>1.0200000000000001E-2</v>
      </c>
    </row>
    <row r="3516" spans="1:13" x14ac:dyDescent="0.25">
      <c r="A3516" t="s">
        <v>203</v>
      </c>
      <c r="B3516" t="s">
        <v>229</v>
      </c>
      <c r="C3516">
        <v>137</v>
      </c>
      <c r="D3516" t="s">
        <v>201</v>
      </c>
      <c r="E3516">
        <v>2633</v>
      </c>
      <c r="H3516" s="1">
        <v>1.2200000000000001E-2</v>
      </c>
      <c r="I3516" s="1">
        <v>1.1999999999999999E-3</v>
      </c>
      <c r="J3516" s="1">
        <v>0.93459999999999999</v>
      </c>
      <c r="K3516" s="1">
        <v>4.2799999999999998E-2</v>
      </c>
      <c r="M3516" s="1">
        <v>9.1999999999999998E-3</v>
      </c>
    </row>
    <row r="3517" spans="1:13" x14ac:dyDescent="0.25">
      <c r="A3517" t="s">
        <v>203</v>
      </c>
      <c r="B3517" t="s">
        <v>228</v>
      </c>
      <c r="C3517">
        <v>177</v>
      </c>
      <c r="D3517" t="s">
        <v>201</v>
      </c>
      <c r="E3517">
        <v>2633</v>
      </c>
      <c r="H3517" s="1">
        <v>5.7000000000000002E-3</v>
      </c>
      <c r="I3517" s="1">
        <v>9.5999999999999992E-3</v>
      </c>
      <c r="J3517" s="1">
        <v>0.8538</v>
      </c>
      <c r="K3517" s="1">
        <v>0.13089999999999999</v>
      </c>
    </row>
    <row r="3518" spans="1:13" x14ac:dyDescent="0.25">
      <c r="A3518" t="s">
        <v>203</v>
      </c>
      <c r="B3518" t="s">
        <v>228</v>
      </c>
      <c r="C3518">
        <v>34</v>
      </c>
      <c r="D3518" t="s">
        <v>202</v>
      </c>
      <c r="E3518">
        <v>2633</v>
      </c>
      <c r="J3518" s="1">
        <v>1</v>
      </c>
    </row>
    <row r="3519" spans="1:13" x14ac:dyDescent="0.25">
      <c r="A3519" t="s">
        <v>203</v>
      </c>
      <c r="B3519" t="s">
        <v>229</v>
      </c>
      <c r="C3519">
        <v>56</v>
      </c>
      <c r="D3519" t="s">
        <v>202</v>
      </c>
      <c r="E3519">
        <v>2633</v>
      </c>
      <c r="J3519" s="1">
        <v>0.91749999999999998</v>
      </c>
      <c r="K3519" s="1">
        <v>8.2500000000000004E-2</v>
      </c>
    </row>
    <row r="3520" spans="1:13" x14ac:dyDescent="0.25">
      <c r="A3520" t="s">
        <v>204</v>
      </c>
      <c r="B3520" t="s">
        <v>204</v>
      </c>
      <c r="C3520">
        <v>2633</v>
      </c>
      <c r="D3520" t="s">
        <v>204</v>
      </c>
      <c r="E3520">
        <v>2633</v>
      </c>
      <c r="F3520" s="1">
        <v>1.49E-2</v>
      </c>
      <c r="G3520" s="1">
        <v>1E-4</v>
      </c>
      <c r="H3520" s="1">
        <v>3.3799999999999997E-2</v>
      </c>
      <c r="I3520" s="1">
        <v>1.6000000000000001E-3</v>
      </c>
      <c r="J3520" s="1">
        <v>0.88539999999999996</v>
      </c>
      <c r="K3520" s="1">
        <v>5.8900000000000001E-2</v>
      </c>
      <c r="L3520" s="1">
        <v>1.1999999999999999E-3</v>
      </c>
      <c r="M3520" s="1">
        <v>4.0000000000000001E-3</v>
      </c>
    </row>
    <row r="3522" spans="1:13" x14ac:dyDescent="0.25">
      <c r="A3522" t="s">
        <v>896</v>
      </c>
    </row>
    <row r="3523" spans="1:13" x14ac:dyDescent="0.25">
      <c r="A3523" t="s">
        <v>190</v>
      </c>
      <c r="B3523" t="s">
        <v>206</v>
      </c>
      <c r="C3523" t="s">
        <v>195</v>
      </c>
      <c r="D3523" t="s">
        <v>189</v>
      </c>
      <c r="E3523" t="s">
        <v>196</v>
      </c>
      <c r="F3523" t="s">
        <v>889</v>
      </c>
      <c r="G3523" t="s">
        <v>220</v>
      </c>
      <c r="H3523" t="s">
        <v>890</v>
      </c>
      <c r="I3523" t="s">
        <v>891</v>
      </c>
      <c r="J3523" t="s">
        <v>892</v>
      </c>
      <c r="K3523" t="s">
        <v>893</v>
      </c>
      <c r="L3523" t="s">
        <v>894</v>
      </c>
      <c r="M3523" t="s">
        <v>235</v>
      </c>
    </row>
    <row r="3524" spans="1:13" x14ac:dyDescent="0.25">
      <c r="A3524" t="s">
        <v>198</v>
      </c>
      <c r="B3524" t="s">
        <v>348</v>
      </c>
      <c r="C3524">
        <v>79</v>
      </c>
      <c r="D3524" t="s">
        <v>197</v>
      </c>
      <c r="E3524">
        <v>2633</v>
      </c>
      <c r="F3524" s="1">
        <v>0.1066</v>
      </c>
      <c r="H3524" s="1">
        <v>0.05</v>
      </c>
      <c r="J3524" s="1">
        <v>0.82430000000000003</v>
      </c>
      <c r="K3524" s="1">
        <v>1.9199999999999998E-2</v>
      </c>
    </row>
    <row r="3525" spans="1:13" s="29" customFormat="1" x14ac:dyDescent="0.25">
      <c r="A3525" s="29" t="s">
        <v>198</v>
      </c>
      <c r="B3525" s="29" t="s">
        <v>349</v>
      </c>
      <c r="C3525" s="29">
        <v>3</v>
      </c>
      <c r="D3525" s="29" t="s">
        <v>197</v>
      </c>
      <c r="E3525" s="29">
        <v>2633</v>
      </c>
      <c r="F3525" s="30">
        <v>0.33329999999999999</v>
      </c>
      <c r="J3525" s="30">
        <v>0.66669999999999996</v>
      </c>
    </row>
    <row r="3526" spans="1:13" x14ac:dyDescent="0.25">
      <c r="A3526" t="s">
        <v>198</v>
      </c>
      <c r="B3526" t="s">
        <v>348</v>
      </c>
      <c r="C3526">
        <v>54</v>
      </c>
      <c r="D3526" t="s">
        <v>199</v>
      </c>
      <c r="E3526">
        <v>2633</v>
      </c>
      <c r="F3526" s="1">
        <v>1.47E-2</v>
      </c>
      <c r="H3526" s="1">
        <v>8.8200000000000001E-2</v>
      </c>
      <c r="J3526" s="1">
        <v>0.89249999999999996</v>
      </c>
      <c r="K3526" s="1">
        <v>4.7000000000000002E-3</v>
      </c>
    </row>
    <row r="3527" spans="1:13" x14ac:dyDescent="0.25">
      <c r="A3527" t="s">
        <v>198</v>
      </c>
      <c r="B3527" t="s">
        <v>349</v>
      </c>
      <c r="C3527">
        <v>111</v>
      </c>
      <c r="D3527" t="s">
        <v>199</v>
      </c>
      <c r="E3527">
        <v>2633</v>
      </c>
      <c r="F3527" s="1">
        <v>8.8999999999999999E-3</v>
      </c>
      <c r="H3527" s="1">
        <v>7.8399999999999997E-2</v>
      </c>
      <c r="J3527" s="1">
        <v>0.90639999999999998</v>
      </c>
      <c r="K3527" s="1">
        <v>6.3E-3</v>
      </c>
    </row>
    <row r="3528" spans="1:13" x14ac:dyDescent="0.25">
      <c r="A3528" t="s">
        <v>198</v>
      </c>
      <c r="B3528" t="s">
        <v>350</v>
      </c>
      <c r="C3528">
        <v>193</v>
      </c>
      <c r="D3528" t="s">
        <v>199</v>
      </c>
      <c r="E3528">
        <v>2633</v>
      </c>
      <c r="F3528" s="1">
        <v>1.67E-2</v>
      </c>
      <c r="H3528" s="1">
        <v>6.59E-2</v>
      </c>
      <c r="J3528" s="1">
        <v>0.85250000000000004</v>
      </c>
      <c r="K3528" s="1">
        <v>0.06</v>
      </c>
      <c r="M3528" s="1">
        <v>4.8999999999999998E-3</v>
      </c>
    </row>
    <row r="3529" spans="1:13" x14ac:dyDescent="0.25">
      <c r="A3529" t="s">
        <v>198</v>
      </c>
      <c r="B3529" t="s">
        <v>350</v>
      </c>
      <c r="C3529">
        <v>78</v>
      </c>
      <c r="D3529" t="s">
        <v>200</v>
      </c>
      <c r="E3529">
        <v>2633</v>
      </c>
      <c r="H3529" s="1">
        <v>0.1399</v>
      </c>
      <c r="J3529" s="1">
        <v>0.80359999999999998</v>
      </c>
      <c r="K3529" s="1">
        <v>5.6500000000000002E-2</v>
      </c>
    </row>
    <row r="3530" spans="1:13" x14ac:dyDescent="0.25">
      <c r="A3530" t="s">
        <v>198</v>
      </c>
      <c r="B3530" t="s">
        <v>348</v>
      </c>
      <c r="C3530">
        <v>242</v>
      </c>
      <c r="D3530" t="s">
        <v>200</v>
      </c>
      <c r="E3530">
        <v>2633</v>
      </c>
      <c r="F3530" s="1">
        <v>7.3000000000000001E-3</v>
      </c>
      <c r="H3530" s="1">
        <v>7.1400000000000005E-2</v>
      </c>
      <c r="J3530" s="1">
        <v>0.82179999999999997</v>
      </c>
      <c r="K3530" s="1">
        <v>9.4299999999999995E-2</v>
      </c>
      <c r="M3530" s="1">
        <v>5.3E-3</v>
      </c>
    </row>
    <row r="3531" spans="1:13" x14ac:dyDescent="0.25">
      <c r="A3531" t="s">
        <v>198</v>
      </c>
      <c r="B3531" t="s">
        <v>349</v>
      </c>
      <c r="C3531">
        <v>62</v>
      </c>
      <c r="D3531" t="s">
        <v>200</v>
      </c>
      <c r="E3531">
        <v>2633</v>
      </c>
      <c r="H3531" s="1">
        <v>5.1400000000000001E-2</v>
      </c>
      <c r="J3531" s="1">
        <v>0.84019999999999995</v>
      </c>
      <c r="K3531" s="1">
        <v>0.1084</v>
      </c>
    </row>
    <row r="3532" spans="1:13" x14ac:dyDescent="0.25">
      <c r="A3532" t="s">
        <v>198</v>
      </c>
      <c r="B3532" t="s">
        <v>349</v>
      </c>
      <c r="C3532">
        <v>125</v>
      </c>
      <c r="D3532" t="s">
        <v>201</v>
      </c>
      <c r="E3532">
        <v>2633</v>
      </c>
      <c r="F3532" s="1">
        <v>1.3599999999999999E-2</v>
      </c>
      <c r="H3532" s="1">
        <v>5.0099999999999999E-2</v>
      </c>
      <c r="J3532" s="1">
        <v>0.8387</v>
      </c>
      <c r="K3532" s="1">
        <v>9.7600000000000006E-2</v>
      </c>
    </row>
    <row r="3533" spans="1:13" x14ac:dyDescent="0.25">
      <c r="A3533" t="s">
        <v>198</v>
      </c>
      <c r="B3533" t="s">
        <v>350</v>
      </c>
      <c r="C3533">
        <v>63</v>
      </c>
      <c r="D3533" t="s">
        <v>201</v>
      </c>
      <c r="E3533">
        <v>2633</v>
      </c>
      <c r="F3533" s="1">
        <v>2.7300000000000001E-2</v>
      </c>
      <c r="H3533" s="1">
        <v>0.28039999999999998</v>
      </c>
      <c r="J3533" s="1">
        <v>0.68540000000000001</v>
      </c>
      <c r="K3533" s="1">
        <v>6.8999999999999999E-3</v>
      </c>
    </row>
    <row r="3534" spans="1:13" x14ac:dyDescent="0.25">
      <c r="A3534" t="s">
        <v>198</v>
      </c>
      <c r="B3534" t="s">
        <v>348</v>
      </c>
      <c r="C3534">
        <v>62</v>
      </c>
      <c r="D3534" t="s">
        <v>201</v>
      </c>
      <c r="E3534">
        <v>2633</v>
      </c>
      <c r="F3534" s="1">
        <v>1.1299999999999999E-2</v>
      </c>
      <c r="H3534" s="1">
        <v>8.7300000000000003E-2</v>
      </c>
      <c r="J3534" s="1">
        <v>0.77310000000000001</v>
      </c>
      <c r="K3534" s="1">
        <v>0.1283</v>
      </c>
    </row>
    <row r="3535" spans="1:13" x14ac:dyDescent="0.25">
      <c r="A3535" t="s">
        <v>198</v>
      </c>
      <c r="B3535" t="s">
        <v>348</v>
      </c>
      <c r="C3535">
        <v>96</v>
      </c>
      <c r="D3535" t="s">
        <v>202</v>
      </c>
      <c r="E3535">
        <v>2633</v>
      </c>
      <c r="F3535" s="1">
        <v>4.6300000000000001E-2</v>
      </c>
      <c r="H3535" s="1">
        <v>7.1099999999999997E-2</v>
      </c>
      <c r="J3535" s="1">
        <v>0.76290000000000002</v>
      </c>
      <c r="K3535" s="1">
        <v>9.0800000000000006E-2</v>
      </c>
      <c r="M3535" s="1">
        <v>2.8899999999999999E-2</v>
      </c>
    </row>
    <row r="3536" spans="1:13" x14ac:dyDescent="0.25">
      <c r="A3536" t="s">
        <v>203</v>
      </c>
      <c r="B3536" t="s">
        <v>349</v>
      </c>
      <c r="C3536">
        <v>171</v>
      </c>
      <c r="D3536" t="s">
        <v>199</v>
      </c>
      <c r="E3536">
        <v>2633</v>
      </c>
      <c r="H3536" s="1">
        <v>6.3E-3</v>
      </c>
      <c r="I3536" s="1">
        <v>1.11E-2</v>
      </c>
      <c r="J3536" s="1">
        <v>0.96660000000000001</v>
      </c>
      <c r="K3536" s="1">
        <v>1.6E-2</v>
      </c>
    </row>
    <row r="3537" spans="1:13" x14ac:dyDescent="0.25">
      <c r="A3537" t="s">
        <v>203</v>
      </c>
      <c r="B3537" t="s">
        <v>348</v>
      </c>
      <c r="C3537">
        <v>42</v>
      </c>
      <c r="D3537" t="s">
        <v>199</v>
      </c>
      <c r="E3537">
        <v>2633</v>
      </c>
      <c r="J3537" s="1">
        <v>0.96819999999999995</v>
      </c>
      <c r="K3537" s="1">
        <v>3.1800000000000002E-2</v>
      </c>
    </row>
    <row r="3538" spans="1:13" x14ac:dyDescent="0.25">
      <c r="A3538" t="s">
        <v>203</v>
      </c>
      <c r="B3538" t="s">
        <v>350</v>
      </c>
      <c r="C3538">
        <v>307</v>
      </c>
      <c r="D3538" t="s">
        <v>199</v>
      </c>
      <c r="E3538">
        <v>2633</v>
      </c>
      <c r="F3538" s="1">
        <v>8.9999999999999998E-4</v>
      </c>
      <c r="G3538" s="1">
        <v>8.9999999999999998E-4</v>
      </c>
      <c r="H3538" s="1">
        <v>4.5999999999999999E-3</v>
      </c>
      <c r="I3538" s="1">
        <v>1E-4</v>
      </c>
      <c r="J3538" s="1">
        <v>0.93569999999999998</v>
      </c>
      <c r="K3538" s="1">
        <v>5.6800000000000003E-2</v>
      </c>
      <c r="M3538" s="1">
        <v>1E-3</v>
      </c>
    </row>
    <row r="3539" spans="1:13" x14ac:dyDescent="0.25">
      <c r="A3539" t="s">
        <v>203</v>
      </c>
      <c r="B3539" t="s">
        <v>348</v>
      </c>
      <c r="C3539">
        <v>300</v>
      </c>
      <c r="D3539" t="s">
        <v>200</v>
      </c>
      <c r="E3539">
        <v>2633</v>
      </c>
      <c r="H3539" s="1">
        <v>2.5999999999999999E-3</v>
      </c>
      <c r="J3539" s="1">
        <v>0.93240000000000001</v>
      </c>
      <c r="K3539" s="1">
        <v>6.0600000000000001E-2</v>
      </c>
      <c r="L3539" s="1">
        <v>4.4000000000000003E-3</v>
      </c>
    </row>
    <row r="3540" spans="1:13" x14ac:dyDescent="0.25">
      <c r="A3540" t="s">
        <v>203</v>
      </c>
      <c r="B3540" t="s">
        <v>349</v>
      </c>
      <c r="C3540">
        <v>108</v>
      </c>
      <c r="D3540" t="s">
        <v>200</v>
      </c>
      <c r="E3540">
        <v>2633</v>
      </c>
      <c r="I3540" s="1">
        <v>1.67E-2</v>
      </c>
      <c r="J3540" s="1">
        <v>0.96660000000000001</v>
      </c>
      <c r="K3540" s="1">
        <v>1.67E-2</v>
      </c>
    </row>
    <row r="3541" spans="1:13" x14ac:dyDescent="0.25">
      <c r="A3541" t="s">
        <v>203</v>
      </c>
      <c r="B3541" t="s">
        <v>350</v>
      </c>
      <c r="C3541">
        <v>94</v>
      </c>
      <c r="D3541" t="s">
        <v>200</v>
      </c>
      <c r="E3541">
        <v>2633</v>
      </c>
      <c r="I3541" s="1">
        <v>4.9799999999999997E-2</v>
      </c>
      <c r="J3541" s="1">
        <v>0.92910000000000004</v>
      </c>
      <c r="K3541" s="1">
        <v>2.1100000000000001E-2</v>
      </c>
    </row>
    <row r="3542" spans="1:13" x14ac:dyDescent="0.25">
      <c r="A3542" t="s">
        <v>203</v>
      </c>
      <c r="B3542" t="s">
        <v>348</v>
      </c>
      <c r="C3542">
        <v>62</v>
      </c>
      <c r="D3542" t="s">
        <v>201</v>
      </c>
      <c r="E3542">
        <v>2633</v>
      </c>
      <c r="I3542" s="1">
        <v>2.5499999999999998E-2</v>
      </c>
      <c r="J3542" s="1">
        <v>0.93149999999999999</v>
      </c>
      <c r="K3542" s="1">
        <v>4.2999999999999997E-2</v>
      </c>
    </row>
    <row r="3543" spans="1:13" x14ac:dyDescent="0.25">
      <c r="A3543" t="s">
        <v>203</v>
      </c>
      <c r="B3543" t="s">
        <v>349</v>
      </c>
      <c r="C3543">
        <v>147</v>
      </c>
      <c r="D3543" t="s">
        <v>201</v>
      </c>
      <c r="E3543">
        <v>2633</v>
      </c>
      <c r="J3543" s="1">
        <v>0.92059999999999997</v>
      </c>
      <c r="K3543" s="1">
        <v>7.0900000000000005E-2</v>
      </c>
      <c r="M3543" s="1">
        <v>8.5000000000000006E-3</v>
      </c>
    </row>
    <row r="3544" spans="1:13" x14ac:dyDescent="0.25">
      <c r="A3544" t="s">
        <v>203</v>
      </c>
      <c r="B3544" t="s">
        <v>350</v>
      </c>
      <c r="C3544">
        <v>105</v>
      </c>
      <c r="D3544" t="s">
        <v>201</v>
      </c>
      <c r="E3544">
        <v>2633</v>
      </c>
      <c r="H3544" s="1">
        <v>0.1489</v>
      </c>
      <c r="I3544" s="1">
        <v>5.4999999999999997E-3</v>
      </c>
      <c r="J3544" s="1">
        <v>0.82940000000000003</v>
      </c>
      <c r="K3544" s="1">
        <v>1.6199999999999999E-2</v>
      </c>
    </row>
    <row r="3545" spans="1:13" x14ac:dyDescent="0.25">
      <c r="A3545" t="s">
        <v>203</v>
      </c>
      <c r="B3545" t="s">
        <v>348</v>
      </c>
      <c r="C3545">
        <v>90</v>
      </c>
      <c r="D3545" t="s">
        <v>202</v>
      </c>
      <c r="E3545">
        <v>2633</v>
      </c>
      <c r="J3545" s="1">
        <v>0.94079999999999997</v>
      </c>
      <c r="K3545" s="1">
        <v>5.9200000000000003E-2</v>
      </c>
    </row>
    <row r="3546" spans="1:13" x14ac:dyDescent="0.25">
      <c r="A3546" t="s">
        <v>204</v>
      </c>
      <c r="B3546" t="s">
        <v>204</v>
      </c>
      <c r="C3546">
        <v>2633</v>
      </c>
      <c r="D3546" t="s">
        <v>204</v>
      </c>
      <c r="E3546">
        <v>2633</v>
      </c>
      <c r="F3546" s="1">
        <v>1.49E-2</v>
      </c>
      <c r="G3546" s="1">
        <v>1E-4</v>
      </c>
      <c r="H3546" s="1">
        <v>3.3799999999999997E-2</v>
      </c>
      <c r="I3546" s="1">
        <v>1.6000000000000001E-3</v>
      </c>
      <c r="J3546" s="1">
        <v>0.88539999999999996</v>
      </c>
      <c r="K3546" s="1">
        <v>5.8900000000000001E-2</v>
      </c>
      <c r="L3546" s="1">
        <v>1.1999999999999999E-3</v>
      </c>
      <c r="M3546" s="1">
        <v>4.0000000000000001E-3</v>
      </c>
    </row>
    <row r="3548" spans="1:13" x14ac:dyDescent="0.25">
      <c r="A3548" t="s">
        <v>897</v>
      </c>
    </row>
    <row r="3549" spans="1:13" x14ac:dyDescent="0.25">
      <c r="A3549" t="s">
        <v>190</v>
      </c>
      <c r="B3549" t="s">
        <v>195</v>
      </c>
      <c r="C3549" t="s">
        <v>189</v>
      </c>
      <c r="D3549" t="s">
        <v>196</v>
      </c>
      <c r="E3549" t="s">
        <v>220</v>
      </c>
      <c r="F3549" t="s">
        <v>898</v>
      </c>
      <c r="G3549" t="s">
        <v>235</v>
      </c>
      <c r="H3549" t="s">
        <v>215</v>
      </c>
      <c r="I3549" t="s">
        <v>899</v>
      </c>
      <c r="J3549" t="s">
        <v>900</v>
      </c>
      <c r="K3549" t="s">
        <v>901</v>
      </c>
      <c r="L3549" t="s">
        <v>902</v>
      </c>
    </row>
    <row r="3550" spans="1:13" x14ac:dyDescent="0.25">
      <c r="A3550" t="s">
        <v>198</v>
      </c>
      <c r="B3550">
        <v>72</v>
      </c>
      <c r="C3550" t="s">
        <v>197</v>
      </c>
      <c r="D3550">
        <v>2600</v>
      </c>
      <c r="I3550" s="1">
        <v>0.34920000000000001</v>
      </c>
      <c r="J3550" s="1">
        <v>0.64239999999999997</v>
      </c>
      <c r="L3550" s="1">
        <v>8.3999999999999995E-3</v>
      </c>
    </row>
    <row r="3551" spans="1:13" x14ac:dyDescent="0.25">
      <c r="A3551" t="s">
        <v>198</v>
      </c>
      <c r="B3551">
        <v>361</v>
      </c>
      <c r="C3551" t="s">
        <v>199</v>
      </c>
      <c r="D3551">
        <v>2600</v>
      </c>
      <c r="G3551" s="1">
        <v>2E-3</v>
      </c>
      <c r="I3551" s="1">
        <v>0.62739999999999996</v>
      </c>
      <c r="J3551" s="1">
        <v>0.36770000000000003</v>
      </c>
      <c r="L3551" s="1">
        <v>2.8999999999999998E-3</v>
      </c>
    </row>
    <row r="3552" spans="1:13" x14ac:dyDescent="0.25">
      <c r="A3552" t="s">
        <v>198</v>
      </c>
      <c r="B3552">
        <v>385</v>
      </c>
      <c r="C3552" t="s">
        <v>200</v>
      </c>
      <c r="D3552">
        <v>2600</v>
      </c>
      <c r="I3552" s="1">
        <v>0.70499999999999996</v>
      </c>
      <c r="J3552" s="1">
        <v>0.2888</v>
      </c>
      <c r="L3552" s="1">
        <v>6.1999999999999998E-3</v>
      </c>
    </row>
    <row r="3553" spans="1:13" x14ac:dyDescent="0.25">
      <c r="A3553" t="s">
        <v>198</v>
      </c>
      <c r="B3553">
        <v>253</v>
      </c>
      <c r="C3553" t="s">
        <v>201</v>
      </c>
      <c r="D3553">
        <v>2600</v>
      </c>
      <c r="H3553" s="1">
        <v>6.9999999999999999E-4</v>
      </c>
      <c r="I3553" s="1">
        <v>0.62739999999999996</v>
      </c>
      <c r="J3553" s="1">
        <v>0.37119999999999997</v>
      </c>
      <c r="L3553" s="1">
        <v>6.9999999999999999E-4</v>
      </c>
    </row>
    <row r="3554" spans="1:13" x14ac:dyDescent="0.25">
      <c r="A3554" t="s">
        <v>198</v>
      </c>
      <c r="B3554">
        <v>88</v>
      </c>
      <c r="C3554" t="s">
        <v>202</v>
      </c>
      <c r="D3554">
        <v>2600</v>
      </c>
      <c r="F3554" s="1">
        <v>2.7000000000000001E-3</v>
      </c>
      <c r="I3554" s="1">
        <v>0.60650000000000004</v>
      </c>
      <c r="J3554" s="1">
        <v>0.39079999999999998</v>
      </c>
    </row>
    <row r="3555" spans="1:13" x14ac:dyDescent="0.25">
      <c r="A3555" t="s">
        <v>203</v>
      </c>
      <c r="B3555">
        <v>528</v>
      </c>
      <c r="C3555" t="s">
        <v>199</v>
      </c>
      <c r="D3555">
        <v>2600</v>
      </c>
      <c r="E3555" s="1">
        <v>5.9999999999999995E-4</v>
      </c>
      <c r="F3555" s="1">
        <v>1.4E-3</v>
      </c>
      <c r="I3555" s="1">
        <v>0.60309999999999997</v>
      </c>
      <c r="J3555" s="1">
        <v>0.38640000000000002</v>
      </c>
      <c r="L3555" s="1">
        <v>8.5000000000000006E-3</v>
      </c>
    </row>
    <row r="3556" spans="1:13" x14ac:dyDescent="0.25">
      <c r="A3556" t="s">
        <v>203</v>
      </c>
      <c r="B3556">
        <v>503</v>
      </c>
      <c r="C3556" t="s">
        <v>200</v>
      </c>
      <c r="D3556">
        <v>2600</v>
      </c>
      <c r="F3556" s="1">
        <v>2E-3</v>
      </c>
      <c r="I3556" s="1">
        <v>0.69289999999999996</v>
      </c>
      <c r="J3556" s="1">
        <v>0.29949999999999999</v>
      </c>
      <c r="K3556" s="1">
        <v>2E-3</v>
      </c>
      <c r="L3556" s="1">
        <v>3.7000000000000002E-3</v>
      </c>
    </row>
    <row r="3557" spans="1:13" x14ac:dyDescent="0.25">
      <c r="A3557" t="s">
        <v>203</v>
      </c>
      <c r="B3557">
        <v>320</v>
      </c>
      <c r="C3557" t="s">
        <v>201</v>
      </c>
      <c r="D3557">
        <v>2600</v>
      </c>
      <c r="H3557" s="1">
        <v>1.1999999999999999E-3</v>
      </c>
      <c r="I3557" s="1">
        <v>0.56479999999999997</v>
      </c>
      <c r="J3557" s="1">
        <v>0.43369999999999997</v>
      </c>
      <c r="L3557" s="1">
        <v>4.0000000000000002E-4</v>
      </c>
    </row>
    <row r="3558" spans="1:13" x14ac:dyDescent="0.25">
      <c r="A3558" t="s">
        <v>203</v>
      </c>
      <c r="B3558">
        <v>90</v>
      </c>
      <c r="C3558" t="s">
        <v>202</v>
      </c>
      <c r="D3558">
        <v>2600</v>
      </c>
      <c r="I3558" s="1">
        <v>0.53959999999999997</v>
      </c>
      <c r="J3558" s="1">
        <v>0.45540000000000003</v>
      </c>
      <c r="L3558" s="1">
        <v>4.8999999999999998E-3</v>
      </c>
    </row>
    <row r="3559" spans="1:13" x14ac:dyDescent="0.25">
      <c r="A3559" t="s">
        <v>204</v>
      </c>
      <c r="B3559">
        <v>2600</v>
      </c>
      <c r="C3559" t="s">
        <v>204</v>
      </c>
      <c r="D3559">
        <v>2600</v>
      </c>
      <c r="E3559" s="1">
        <v>1E-4</v>
      </c>
      <c r="F3559" s="1">
        <v>1E-3</v>
      </c>
      <c r="G3559" s="1">
        <v>2.9999999999999997E-4</v>
      </c>
      <c r="H3559" s="1">
        <v>1E-4</v>
      </c>
      <c r="I3559" s="1">
        <v>0.62829999999999997</v>
      </c>
      <c r="J3559" s="1">
        <v>0.3654</v>
      </c>
      <c r="K3559" s="1">
        <v>5.9999999999999995E-4</v>
      </c>
      <c r="L3559" s="1">
        <v>4.1999999999999997E-3</v>
      </c>
    </row>
    <row r="3561" spans="1:13" x14ac:dyDescent="0.25">
      <c r="A3561" t="s">
        <v>903</v>
      </c>
    </row>
    <row r="3562" spans="1:13" x14ac:dyDescent="0.25">
      <c r="A3562" t="s">
        <v>190</v>
      </c>
      <c r="B3562" t="s">
        <v>206</v>
      </c>
      <c r="C3562" t="s">
        <v>195</v>
      </c>
      <c r="D3562" t="s">
        <v>189</v>
      </c>
      <c r="E3562" t="s">
        <v>196</v>
      </c>
      <c r="F3562" t="s">
        <v>220</v>
      </c>
      <c r="G3562" t="s">
        <v>898</v>
      </c>
      <c r="H3562" t="s">
        <v>235</v>
      </c>
      <c r="I3562" t="s">
        <v>215</v>
      </c>
      <c r="J3562" t="s">
        <v>899</v>
      </c>
      <c r="K3562" t="s">
        <v>900</v>
      </c>
      <c r="L3562" t="s">
        <v>901</v>
      </c>
      <c r="M3562" t="s">
        <v>902</v>
      </c>
    </row>
    <row r="3563" spans="1:13" x14ac:dyDescent="0.25">
      <c r="A3563" t="s">
        <v>198</v>
      </c>
      <c r="B3563" t="s">
        <v>228</v>
      </c>
      <c r="C3563">
        <v>31</v>
      </c>
      <c r="D3563" t="s">
        <v>197</v>
      </c>
      <c r="E3563">
        <v>2600</v>
      </c>
      <c r="J3563" s="1">
        <v>2.6700000000000002E-2</v>
      </c>
      <c r="K3563" s="1">
        <v>0.97330000000000005</v>
      </c>
    </row>
    <row r="3564" spans="1:13" x14ac:dyDescent="0.25">
      <c r="A3564" t="s">
        <v>198</v>
      </c>
      <c r="B3564" t="s">
        <v>229</v>
      </c>
      <c r="C3564">
        <v>41</v>
      </c>
      <c r="D3564" t="s">
        <v>197</v>
      </c>
      <c r="E3564">
        <v>2600</v>
      </c>
      <c r="J3564" s="1">
        <v>0.63129999999999997</v>
      </c>
      <c r="K3564" s="1">
        <v>0.3528</v>
      </c>
      <c r="M3564" s="1">
        <v>1.5800000000000002E-2</v>
      </c>
    </row>
    <row r="3565" spans="1:13" x14ac:dyDescent="0.25">
      <c r="A3565" t="s">
        <v>198</v>
      </c>
      <c r="B3565" t="s">
        <v>228</v>
      </c>
      <c r="C3565">
        <v>143</v>
      </c>
      <c r="D3565" t="s">
        <v>199</v>
      </c>
      <c r="E3565">
        <v>2600</v>
      </c>
      <c r="J3565" s="1">
        <v>0.21990000000000001</v>
      </c>
      <c r="K3565" s="1">
        <v>0.7722</v>
      </c>
      <c r="M3565" s="1">
        <v>7.9000000000000008E-3</v>
      </c>
    </row>
    <row r="3566" spans="1:13" x14ac:dyDescent="0.25">
      <c r="A3566" t="s">
        <v>198</v>
      </c>
      <c r="B3566" t="s">
        <v>229</v>
      </c>
      <c r="C3566">
        <v>208</v>
      </c>
      <c r="D3566" t="s">
        <v>199</v>
      </c>
      <c r="E3566">
        <v>2600</v>
      </c>
      <c r="H3566" s="1">
        <v>2.7000000000000001E-3</v>
      </c>
      <c r="J3566" s="1">
        <v>0.77239999999999998</v>
      </c>
      <c r="K3566" s="1">
        <v>0.22370000000000001</v>
      </c>
      <c r="M3566" s="1">
        <v>1.1999999999999999E-3</v>
      </c>
    </row>
    <row r="3567" spans="1:13" x14ac:dyDescent="0.25">
      <c r="A3567" t="s">
        <v>198</v>
      </c>
      <c r="B3567" t="s">
        <v>229</v>
      </c>
      <c r="C3567">
        <v>269</v>
      </c>
      <c r="D3567" t="s">
        <v>200</v>
      </c>
      <c r="E3567">
        <v>2600</v>
      </c>
      <c r="J3567" s="1">
        <v>0.8538</v>
      </c>
      <c r="K3567" s="1">
        <v>0.1462</v>
      </c>
    </row>
    <row r="3568" spans="1:13" x14ac:dyDescent="0.25">
      <c r="A3568" t="s">
        <v>198</v>
      </c>
      <c r="B3568" t="s">
        <v>228</v>
      </c>
      <c r="C3568">
        <v>111</v>
      </c>
      <c r="D3568" t="s">
        <v>200</v>
      </c>
      <c r="E3568">
        <v>2600</v>
      </c>
      <c r="J3568" s="1">
        <v>0.20669999999999999</v>
      </c>
      <c r="K3568" s="1">
        <v>0.76629999999999998</v>
      </c>
      <c r="M3568" s="1">
        <v>2.7E-2</v>
      </c>
    </row>
    <row r="3569" spans="1:13" x14ac:dyDescent="0.25">
      <c r="A3569" t="s">
        <v>198</v>
      </c>
      <c r="B3569" t="s">
        <v>228</v>
      </c>
      <c r="C3569">
        <v>94</v>
      </c>
      <c r="D3569" t="s">
        <v>201</v>
      </c>
      <c r="E3569">
        <v>2600</v>
      </c>
      <c r="J3569" s="1">
        <v>0.2676</v>
      </c>
      <c r="K3569" s="1">
        <v>0.73240000000000005</v>
      </c>
    </row>
    <row r="3570" spans="1:13" x14ac:dyDescent="0.25">
      <c r="A3570" t="s">
        <v>198</v>
      </c>
      <c r="B3570" t="s">
        <v>229</v>
      </c>
      <c r="C3570">
        <v>153</v>
      </c>
      <c r="D3570" t="s">
        <v>201</v>
      </c>
      <c r="E3570">
        <v>2600</v>
      </c>
      <c r="I3570" s="1">
        <v>8.9999999999999998E-4</v>
      </c>
      <c r="J3570" s="1">
        <v>0.72399999999999998</v>
      </c>
      <c r="K3570" s="1">
        <v>0.2742</v>
      </c>
      <c r="M3570" s="1">
        <v>8.9999999999999998E-4</v>
      </c>
    </row>
    <row r="3571" spans="1:13" s="29" customFormat="1" x14ac:dyDescent="0.25">
      <c r="A3571" s="29" t="s">
        <v>198</v>
      </c>
      <c r="B3571" s="29" t="s">
        <v>228</v>
      </c>
      <c r="C3571" s="29">
        <v>23</v>
      </c>
      <c r="D3571" s="29" t="s">
        <v>202</v>
      </c>
      <c r="E3571" s="29">
        <v>2600</v>
      </c>
      <c r="J3571" s="30">
        <v>2.5000000000000001E-2</v>
      </c>
      <c r="K3571" s="30">
        <v>0.97499999999999998</v>
      </c>
    </row>
    <row r="3572" spans="1:13" x14ac:dyDescent="0.25">
      <c r="A3572" t="s">
        <v>198</v>
      </c>
      <c r="B3572" t="s">
        <v>229</v>
      </c>
      <c r="C3572">
        <v>65</v>
      </c>
      <c r="D3572" t="s">
        <v>202</v>
      </c>
      <c r="E3572">
        <v>2600</v>
      </c>
      <c r="G3572" s="1">
        <v>3.3999999999999998E-3</v>
      </c>
      <c r="J3572" s="1">
        <v>0.76390000000000002</v>
      </c>
      <c r="K3572" s="1">
        <v>0.23269999999999999</v>
      </c>
    </row>
    <row r="3573" spans="1:13" x14ac:dyDescent="0.25">
      <c r="A3573" t="s">
        <v>203</v>
      </c>
      <c r="B3573" t="s">
        <v>229</v>
      </c>
      <c r="C3573">
        <v>368</v>
      </c>
      <c r="D3573" t="s">
        <v>199</v>
      </c>
      <c r="E3573">
        <v>2600</v>
      </c>
      <c r="J3573" s="1">
        <v>0.65090000000000003</v>
      </c>
      <c r="K3573" s="1">
        <v>0.34910000000000002</v>
      </c>
    </row>
    <row r="3574" spans="1:13" x14ac:dyDescent="0.25">
      <c r="A3574" t="s">
        <v>203</v>
      </c>
      <c r="B3574" t="s">
        <v>228</v>
      </c>
      <c r="C3574">
        <v>150</v>
      </c>
      <c r="D3574" t="s">
        <v>199</v>
      </c>
      <c r="E3574">
        <v>2600</v>
      </c>
      <c r="F3574" s="1">
        <v>5.8999999999999999E-3</v>
      </c>
      <c r="G3574" s="1">
        <v>1.3299999999999999E-2</v>
      </c>
      <c r="J3574" s="1">
        <v>0.20419999999999999</v>
      </c>
      <c r="K3574" s="1">
        <v>0.69589999999999996</v>
      </c>
      <c r="M3574" s="1">
        <v>8.0699999999999994E-2</v>
      </c>
    </row>
    <row r="3575" spans="1:13" x14ac:dyDescent="0.25">
      <c r="A3575" t="s">
        <v>203</v>
      </c>
      <c r="B3575" t="s">
        <v>229</v>
      </c>
      <c r="C3575">
        <v>347</v>
      </c>
      <c r="D3575" t="s">
        <v>200</v>
      </c>
      <c r="E3575">
        <v>2600</v>
      </c>
      <c r="G3575" s="1">
        <v>2.3999999999999998E-3</v>
      </c>
      <c r="J3575" s="1">
        <v>0.80489999999999995</v>
      </c>
      <c r="K3575" s="1">
        <v>0.1925</v>
      </c>
      <c r="M3575" s="1">
        <v>1E-4</v>
      </c>
    </row>
    <row r="3576" spans="1:13" x14ac:dyDescent="0.25">
      <c r="A3576" t="s">
        <v>203</v>
      </c>
      <c r="B3576" t="s">
        <v>228</v>
      </c>
      <c r="C3576">
        <v>155</v>
      </c>
      <c r="D3576" t="s">
        <v>200</v>
      </c>
      <c r="E3576">
        <v>2600</v>
      </c>
      <c r="J3576" s="1">
        <v>0.2263</v>
      </c>
      <c r="K3576" s="1">
        <v>0.74490000000000001</v>
      </c>
      <c r="L3576" s="1">
        <v>1.0200000000000001E-2</v>
      </c>
      <c r="M3576" s="1">
        <v>1.8599999999999998E-2</v>
      </c>
    </row>
    <row r="3577" spans="1:13" x14ac:dyDescent="0.25">
      <c r="A3577" t="s">
        <v>203</v>
      </c>
      <c r="B3577" t="s">
        <v>229</v>
      </c>
      <c r="C3577">
        <v>137</v>
      </c>
      <c r="D3577" t="s">
        <v>201</v>
      </c>
      <c r="E3577">
        <v>2600</v>
      </c>
      <c r="J3577" s="1">
        <v>0.70509999999999995</v>
      </c>
      <c r="K3577" s="1">
        <v>0.2949</v>
      </c>
    </row>
    <row r="3578" spans="1:13" x14ac:dyDescent="0.25">
      <c r="A3578" t="s">
        <v>203</v>
      </c>
      <c r="B3578" t="s">
        <v>228</v>
      </c>
      <c r="C3578">
        <v>176</v>
      </c>
      <c r="D3578" t="s">
        <v>201</v>
      </c>
      <c r="E3578">
        <v>2600</v>
      </c>
      <c r="I3578" s="1">
        <v>4.8999999999999998E-3</v>
      </c>
      <c r="J3578" s="1">
        <v>0.12379999999999999</v>
      </c>
      <c r="K3578" s="1">
        <v>0.86960000000000004</v>
      </c>
      <c r="M3578" s="1">
        <v>1.6000000000000001E-3</v>
      </c>
    </row>
    <row r="3579" spans="1:13" x14ac:dyDescent="0.25">
      <c r="A3579" t="s">
        <v>203</v>
      </c>
      <c r="B3579" t="s">
        <v>228</v>
      </c>
      <c r="C3579">
        <v>34</v>
      </c>
      <c r="D3579" t="s">
        <v>202</v>
      </c>
      <c r="E3579">
        <v>2600</v>
      </c>
      <c r="J3579" s="1">
        <v>0.11799999999999999</v>
      </c>
      <c r="K3579" s="1">
        <v>0.88200000000000001</v>
      </c>
    </row>
    <row r="3580" spans="1:13" x14ac:dyDescent="0.25">
      <c r="A3580" t="s">
        <v>203</v>
      </c>
      <c r="B3580" t="s">
        <v>229</v>
      </c>
      <c r="C3580">
        <v>56</v>
      </c>
      <c r="D3580" t="s">
        <v>202</v>
      </c>
      <c r="E3580">
        <v>2600</v>
      </c>
      <c r="J3580" s="1">
        <v>0.70579999999999998</v>
      </c>
      <c r="K3580" s="1">
        <v>0.2873</v>
      </c>
      <c r="M3580" s="1">
        <v>6.8999999999999999E-3</v>
      </c>
    </row>
    <row r="3581" spans="1:13" x14ac:dyDescent="0.25">
      <c r="A3581" t="s">
        <v>204</v>
      </c>
      <c r="B3581" t="s">
        <v>204</v>
      </c>
      <c r="C3581">
        <v>2600</v>
      </c>
      <c r="D3581" t="s">
        <v>204</v>
      </c>
      <c r="E3581">
        <v>2600</v>
      </c>
      <c r="F3581" s="1">
        <v>1E-4</v>
      </c>
      <c r="G3581" s="1">
        <v>1E-3</v>
      </c>
      <c r="H3581" s="1">
        <v>2.9999999999999997E-4</v>
      </c>
      <c r="I3581" s="1">
        <v>1E-4</v>
      </c>
      <c r="J3581" s="1">
        <v>0.62829999999999997</v>
      </c>
      <c r="K3581" s="1">
        <v>0.3654</v>
      </c>
      <c r="L3581" s="1">
        <v>5.9999999999999995E-4</v>
      </c>
      <c r="M3581" s="1">
        <v>4.1999999999999997E-3</v>
      </c>
    </row>
    <row r="3583" spans="1:13" x14ac:dyDescent="0.25">
      <c r="A3583" t="s">
        <v>904</v>
      </c>
    </row>
    <row r="3584" spans="1:13" x14ac:dyDescent="0.25">
      <c r="A3584" t="s">
        <v>190</v>
      </c>
      <c r="B3584" t="s">
        <v>206</v>
      </c>
      <c r="C3584" t="s">
        <v>195</v>
      </c>
      <c r="D3584" t="s">
        <v>189</v>
      </c>
      <c r="E3584" t="s">
        <v>196</v>
      </c>
      <c r="F3584" t="s">
        <v>220</v>
      </c>
      <c r="G3584" t="s">
        <v>898</v>
      </c>
      <c r="H3584" t="s">
        <v>235</v>
      </c>
      <c r="I3584" t="s">
        <v>215</v>
      </c>
      <c r="J3584" t="s">
        <v>899</v>
      </c>
      <c r="K3584" t="s">
        <v>900</v>
      </c>
      <c r="L3584" t="s">
        <v>901</v>
      </c>
      <c r="M3584" t="s">
        <v>902</v>
      </c>
    </row>
    <row r="3585" spans="1:13" x14ac:dyDescent="0.25">
      <c r="A3585" t="s">
        <v>198</v>
      </c>
      <c r="B3585" t="s">
        <v>348</v>
      </c>
      <c r="C3585">
        <v>70</v>
      </c>
      <c r="D3585" t="s">
        <v>197</v>
      </c>
      <c r="E3585">
        <v>2600</v>
      </c>
      <c r="J3585" s="1">
        <v>0.35809999999999997</v>
      </c>
      <c r="K3585" s="1">
        <v>0.63319999999999999</v>
      </c>
      <c r="M3585" s="1">
        <v>8.6999999999999994E-3</v>
      </c>
    </row>
    <row r="3586" spans="1:13" s="29" customFormat="1" x14ac:dyDescent="0.25">
      <c r="A3586" s="29" t="s">
        <v>198</v>
      </c>
      <c r="B3586" s="29" t="s">
        <v>349</v>
      </c>
      <c r="C3586" s="29">
        <v>2</v>
      </c>
      <c r="D3586" s="29" t="s">
        <v>197</v>
      </c>
      <c r="E3586" s="29">
        <v>2600</v>
      </c>
      <c r="K3586" s="30">
        <v>1</v>
      </c>
    </row>
    <row r="3587" spans="1:13" x14ac:dyDescent="0.25">
      <c r="A3587" t="s">
        <v>198</v>
      </c>
      <c r="B3587" t="s">
        <v>348</v>
      </c>
      <c r="C3587">
        <v>52</v>
      </c>
      <c r="D3587" t="s">
        <v>199</v>
      </c>
      <c r="E3587">
        <v>2600</v>
      </c>
      <c r="J3587" s="1">
        <v>0.48459999999999998</v>
      </c>
      <c r="K3587" s="1">
        <v>0.50080000000000002</v>
      </c>
      <c r="M3587" s="1">
        <v>1.46E-2</v>
      </c>
    </row>
    <row r="3588" spans="1:13" x14ac:dyDescent="0.25">
      <c r="A3588" t="s">
        <v>198</v>
      </c>
      <c r="B3588" t="s">
        <v>349</v>
      </c>
      <c r="C3588">
        <v>110</v>
      </c>
      <c r="D3588" t="s">
        <v>199</v>
      </c>
      <c r="E3588">
        <v>2600</v>
      </c>
      <c r="J3588" s="1">
        <v>0.60940000000000005</v>
      </c>
      <c r="K3588" s="1">
        <v>0.3886</v>
      </c>
      <c r="M3588" s="1">
        <v>2E-3</v>
      </c>
    </row>
    <row r="3589" spans="1:13" x14ac:dyDescent="0.25">
      <c r="A3589" t="s">
        <v>198</v>
      </c>
      <c r="B3589" t="s">
        <v>350</v>
      </c>
      <c r="C3589">
        <v>189</v>
      </c>
      <c r="D3589" t="s">
        <v>199</v>
      </c>
      <c r="E3589">
        <v>2600</v>
      </c>
      <c r="H3589" s="1">
        <v>5.0000000000000001E-3</v>
      </c>
      <c r="J3589" s="1">
        <v>0.70389999999999997</v>
      </c>
      <c r="K3589" s="1">
        <v>0.29110000000000003</v>
      </c>
    </row>
    <row r="3590" spans="1:13" x14ac:dyDescent="0.25">
      <c r="A3590" t="s">
        <v>198</v>
      </c>
      <c r="B3590" t="s">
        <v>350</v>
      </c>
      <c r="C3590">
        <v>78</v>
      </c>
      <c r="D3590" t="s">
        <v>200</v>
      </c>
      <c r="E3590">
        <v>2600</v>
      </c>
      <c r="J3590" s="1">
        <v>0.48509999999999998</v>
      </c>
      <c r="K3590" s="1">
        <v>0.50349999999999995</v>
      </c>
      <c r="M3590" s="1">
        <v>1.1299999999999999E-2</v>
      </c>
    </row>
    <row r="3591" spans="1:13" x14ac:dyDescent="0.25">
      <c r="A3591" t="s">
        <v>198</v>
      </c>
      <c r="B3591" t="s">
        <v>348</v>
      </c>
      <c r="C3591">
        <v>240</v>
      </c>
      <c r="D3591" t="s">
        <v>200</v>
      </c>
      <c r="E3591">
        <v>2600</v>
      </c>
      <c r="J3591" s="1">
        <v>0.74360000000000004</v>
      </c>
      <c r="K3591" s="1">
        <v>0.25009999999999999</v>
      </c>
      <c r="M3591" s="1">
        <v>6.3E-3</v>
      </c>
    </row>
    <row r="3592" spans="1:13" x14ac:dyDescent="0.25">
      <c r="A3592" t="s">
        <v>198</v>
      </c>
      <c r="B3592" t="s">
        <v>349</v>
      </c>
      <c r="C3592">
        <v>62</v>
      </c>
      <c r="D3592" t="s">
        <v>200</v>
      </c>
      <c r="E3592">
        <v>2600</v>
      </c>
      <c r="J3592" s="1">
        <v>0.36870000000000003</v>
      </c>
      <c r="K3592" s="1">
        <v>0.63129999999999997</v>
      </c>
    </row>
    <row r="3593" spans="1:13" x14ac:dyDescent="0.25">
      <c r="A3593" t="s">
        <v>198</v>
      </c>
      <c r="B3593" t="s">
        <v>349</v>
      </c>
      <c r="C3593">
        <v>124</v>
      </c>
      <c r="D3593" t="s">
        <v>201</v>
      </c>
      <c r="E3593">
        <v>2600</v>
      </c>
      <c r="J3593" s="1">
        <v>0.74480000000000002</v>
      </c>
      <c r="K3593" s="1">
        <v>0.25519999999999998</v>
      </c>
    </row>
    <row r="3594" spans="1:13" x14ac:dyDescent="0.25">
      <c r="A3594" t="s">
        <v>198</v>
      </c>
      <c r="B3594" t="s">
        <v>350</v>
      </c>
      <c r="C3594">
        <v>62</v>
      </c>
      <c r="D3594" t="s">
        <v>201</v>
      </c>
      <c r="E3594">
        <v>2600</v>
      </c>
      <c r="I3594" s="1">
        <v>1.5100000000000001E-2</v>
      </c>
      <c r="J3594" s="1">
        <v>0.49230000000000002</v>
      </c>
      <c r="K3594" s="1">
        <v>0.47749999999999998</v>
      </c>
      <c r="M3594" s="1">
        <v>1.5100000000000001E-2</v>
      </c>
    </row>
    <row r="3595" spans="1:13" x14ac:dyDescent="0.25">
      <c r="A3595" t="s">
        <v>198</v>
      </c>
      <c r="B3595" t="s">
        <v>348</v>
      </c>
      <c r="C3595">
        <v>61</v>
      </c>
      <c r="D3595" t="s">
        <v>201</v>
      </c>
      <c r="E3595">
        <v>2600</v>
      </c>
      <c r="J3595" s="1">
        <v>0.33019999999999999</v>
      </c>
      <c r="K3595" s="1">
        <v>0.66979999999999995</v>
      </c>
    </row>
    <row r="3596" spans="1:13" x14ac:dyDescent="0.25">
      <c r="A3596" t="s">
        <v>198</v>
      </c>
      <c r="B3596" t="s">
        <v>348</v>
      </c>
      <c r="C3596">
        <v>88</v>
      </c>
      <c r="D3596" t="s">
        <v>202</v>
      </c>
      <c r="E3596">
        <v>2600</v>
      </c>
      <c r="G3596" s="1">
        <v>2.7000000000000001E-3</v>
      </c>
      <c r="J3596" s="1">
        <v>0.60650000000000004</v>
      </c>
      <c r="K3596" s="1">
        <v>0.39079999999999998</v>
      </c>
    </row>
    <row r="3597" spans="1:13" x14ac:dyDescent="0.25">
      <c r="A3597" t="s">
        <v>203</v>
      </c>
      <c r="B3597" t="s">
        <v>349</v>
      </c>
      <c r="C3597">
        <v>171</v>
      </c>
      <c r="D3597" t="s">
        <v>199</v>
      </c>
      <c r="E3597">
        <v>2600</v>
      </c>
      <c r="G3597" s="1">
        <v>4.3E-3</v>
      </c>
      <c r="J3597" s="1">
        <v>0.37719999999999998</v>
      </c>
      <c r="K3597" s="1">
        <v>0.61839999999999995</v>
      </c>
    </row>
    <row r="3598" spans="1:13" x14ac:dyDescent="0.25">
      <c r="A3598" t="s">
        <v>203</v>
      </c>
      <c r="B3598" t="s">
        <v>348</v>
      </c>
      <c r="C3598">
        <v>42</v>
      </c>
      <c r="D3598" t="s">
        <v>199</v>
      </c>
      <c r="E3598">
        <v>2600</v>
      </c>
      <c r="J3598" s="1">
        <v>0.59019999999999995</v>
      </c>
      <c r="K3598" s="1">
        <v>0.4098</v>
      </c>
    </row>
    <row r="3599" spans="1:13" x14ac:dyDescent="0.25">
      <c r="A3599" t="s">
        <v>203</v>
      </c>
      <c r="B3599" t="s">
        <v>350</v>
      </c>
      <c r="C3599">
        <v>305</v>
      </c>
      <c r="D3599" t="s">
        <v>199</v>
      </c>
      <c r="E3599">
        <v>2600</v>
      </c>
      <c r="F3599" s="1">
        <v>1E-3</v>
      </c>
      <c r="J3599" s="1">
        <v>0.72089999999999999</v>
      </c>
      <c r="K3599" s="1">
        <v>0.2646</v>
      </c>
      <c r="M3599" s="1">
        <v>1.34E-2</v>
      </c>
    </row>
    <row r="3600" spans="1:13" x14ac:dyDescent="0.25">
      <c r="A3600" t="s">
        <v>203</v>
      </c>
      <c r="B3600" t="s">
        <v>348</v>
      </c>
      <c r="C3600">
        <v>300</v>
      </c>
      <c r="D3600" t="s">
        <v>200</v>
      </c>
      <c r="E3600">
        <v>2600</v>
      </c>
      <c r="G3600" s="1">
        <v>2.2000000000000001E-3</v>
      </c>
      <c r="J3600" s="1">
        <v>0.70420000000000005</v>
      </c>
      <c r="K3600" s="1">
        <v>0.2873</v>
      </c>
      <c r="L3600" s="1">
        <v>2.2000000000000001E-3</v>
      </c>
      <c r="M3600" s="1">
        <v>4.1000000000000003E-3</v>
      </c>
    </row>
    <row r="3601" spans="1:13" x14ac:dyDescent="0.25">
      <c r="A3601" t="s">
        <v>203</v>
      </c>
      <c r="B3601" t="s">
        <v>349</v>
      </c>
      <c r="C3601">
        <v>108</v>
      </c>
      <c r="D3601" t="s">
        <v>200</v>
      </c>
      <c r="E3601">
        <v>2600</v>
      </c>
      <c r="J3601" s="1">
        <v>0.58620000000000005</v>
      </c>
      <c r="K3601" s="1">
        <v>0.4138</v>
      </c>
    </row>
    <row r="3602" spans="1:13" x14ac:dyDescent="0.25">
      <c r="A3602" t="s">
        <v>203</v>
      </c>
      <c r="B3602" t="s">
        <v>350</v>
      </c>
      <c r="C3602">
        <v>94</v>
      </c>
      <c r="D3602" t="s">
        <v>200</v>
      </c>
      <c r="E3602">
        <v>2600</v>
      </c>
      <c r="J3602" s="1">
        <v>0.65110000000000001</v>
      </c>
      <c r="K3602" s="1">
        <v>0.34670000000000001</v>
      </c>
      <c r="M3602" s="1">
        <v>2.2000000000000001E-3</v>
      </c>
    </row>
    <row r="3603" spans="1:13" x14ac:dyDescent="0.25">
      <c r="A3603" t="s">
        <v>203</v>
      </c>
      <c r="B3603" t="s">
        <v>348</v>
      </c>
      <c r="C3603">
        <v>62</v>
      </c>
      <c r="D3603" t="s">
        <v>201</v>
      </c>
      <c r="E3603">
        <v>2600</v>
      </c>
      <c r="J3603" s="1">
        <v>0.1651</v>
      </c>
      <c r="K3603" s="1">
        <v>0.83489999999999998</v>
      </c>
    </row>
    <row r="3604" spans="1:13" x14ac:dyDescent="0.25">
      <c r="A3604" t="s">
        <v>203</v>
      </c>
      <c r="B3604" t="s">
        <v>349</v>
      </c>
      <c r="C3604">
        <v>146</v>
      </c>
      <c r="D3604" t="s">
        <v>201</v>
      </c>
      <c r="E3604">
        <v>2600</v>
      </c>
      <c r="J3604" s="1">
        <v>0.63539999999999996</v>
      </c>
      <c r="K3604" s="1">
        <v>0.36409999999999998</v>
      </c>
      <c r="M3604" s="1">
        <v>5.0000000000000001E-4</v>
      </c>
    </row>
    <row r="3605" spans="1:13" x14ac:dyDescent="0.25">
      <c r="A3605" t="s">
        <v>203</v>
      </c>
      <c r="B3605" t="s">
        <v>350</v>
      </c>
      <c r="C3605">
        <v>105</v>
      </c>
      <c r="D3605" t="s">
        <v>201</v>
      </c>
      <c r="E3605">
        <v>2600</v>
      </c>
      <c r="I3605" s="1">
        <v>1.6199999999999999E-2</v>
      </c>
      <c r="J3605" s="1">
        <v>0.39240000000000003</v>
      </c>
      <c r="K3605" s="1">
        <v>0.59140000000000004</v>
      </c>
    </row>
    <row r="3606" spans="1:13" x14ac:dyDescent="0.25">
      <c r="A3606" t="s">
        <v>203</v>
      </c>
      <c r="B3606" t="s">
        <v>348</v>
      </c>
      <c r="C3606">
        <v>90</v>
      </c>
      <c r="D3606" t="s">
        <v>202</v>
      </c>
      <c r="E3606">
        <v>2600</v>
      </c>
      <c r="J3606" s="1">
        <v>0.53959999999999997</v>
      </c>
      <c r="K3606" s="1">
        <v>0.45540000000000003</v>
      </c>
      <c r="M3606" s="1">
        <v>4.8999999999999998E-3</v>
      </c>
    </row>
    <row r="3607" spans="1:13" x14ac:dyDescent="0.25">
      <c r="A3607" t="s">
        <v>204</v>
      </c>
      <c r="B3607" t="s">
        <v>204</v>
      </c>
      <c r="C3607">
        <v>2600</v>
      </c>
      <c r="D3607" t="s">
        <v>204</v>
      </c>
      <c r="E3607">
        <v>2600</v>
      </c>
      <c r="F3607" s="1">
        <v>1E-4</v>
      </c>
      <c r="G3607" s="1">
        <v>1E-3</v>
      </c>
      <c r="H3607" s="1">
        <v>2.9999999999999997E-4</v>
      </c>
      <c r="I3607" s="1">
        <v>1E-4</v>
      </c>
      <c r="J3607" s="1">
        <v>0.62829999999999997</v>
      </c>
      <c r="K3607" s="1">
        <v>0.3654</v>
      </c>
      <c r="L3607" s="1">
        <v>5.9999999999999995E-4</v>
      </c>
      <c r="M3607" s="1">
        <v>4.1999999999999997E-3</v>
      </c>
    </row>
    <row r="3609" spans="1:13" x14ac:dyDescent="0.25">
      <c r="A3609" t="s">
        <v>905</v>
      </c>
    </row>
    <row r="3610" spans="1:13" x14ac:dyDescent="0.25">
      <c r="A3610" t="s">
        <v>189</v>
      </c>
      <c r="B3610" t="s">
        <v>190</v>
      </c>
      <c r="C3610" t="s">
        <v>191</v>
      </c>
      <c r="D3610" t="s">
        <v>192</v>
      </c>
      <c r="E3610" t="s">
        <v>193</v>
      </c>
      <c r="F3610" t="s">
        <v>194</v>
      </c>
      <c r="G3610" t="s">
        <v>195</v>
      </c>
      <c r="H3610" t="s">
        <v>196</v>
      </c>
    </row>
    <row r="3611" spans="1:13" x14ac:dyDescent="0.25">
      <c r="A3611" t="s">
        <v>197</v>
      </c>
      <c r="B3611" t="s">
        <v>198</v>
      </c>
      <c r="C3611">
        <v>52.14346248854222</v>
      </c>
      <c r="D3611">
        <v>50</v>
      </c>
      <c r="E3611">
        <v>12</v>
      </c>
      <c r="F3611">
        <v>120</v>
      </c>
      <c r="G3611">
        <v>54</v>
      </c>
      <c r="H3611">
        <v>2051</v>
      </c>
    </row>
    <row r="3612" spans="1:13" x14ac:dyDescent="0.25">
      <c r="A3612" t="s">
        <v>199</v>
      </c>
      <c r="B3612" t="s">
        <v>198</v>
      </c>
      <c r="C3612">
        <v>47.965429850541611</v>
      </c>
      <c r="D3612">
        <v>47</v>
      </c>
      <c r="E3612">
        <v>15</v>
      </c>
      <c r="F3612">
        <v>150</v>
      </c>
      <c r="G3612">
        <v>260</v>
      </c>
      <c r="H3612">
        <v>2051</v>
      </c>
    </row>
    <row r="3613" spans="1:13" x14ac:dyDescent="0.25">
      <c r="A3613" t="s">
        <v>200</v>
      </c>
      <c r="B3613" t="s">
        <v>198</v>
      </c>
      <c r="C3613">
        <v>52.735091547319144</v>
      </c>
      <c r="D3613">
        <v>50</v>
      </c>
      <c r="E3613">
        <v>12</v>
      </c>
      <c r="F3613">
        <v>156</v>
      </c>
      <c r="G3613">
        <v>278</v>
      </c>
      <c r="H3613">
        <v>2051</v>
      </c>
    </row>
    <row r="3614" spans="1:13" x14ac:dyDescent="0.25">
      <c r="A3614" t="s">
        <v>201</v>
      </c>
      <c r="B3614" t="s">
        <v>198</v>
      </c>
      <c r="C3614">
        <v>52.63080657525709</v>
      </c>
      <c r="D3614">
        <v>50</v>
      </c>
      <c r="E3614">
        <v>12</v>
      </c>
      <c r="F3614">
        <v>200</v>
      </c>
      <c r="G3614">
        <v>163</v>
      </c>
      <c r="H3614">
        <v>2051</v>
      </c>
    </row>
    <row r="3615" spans="1:13" x14ac:dyDescent="0.25">
      <c r="A3615" t="s">
        <v>202</v>
      </c>
      <c r="B3615" t="s">
        <v>198</v>
      </c>
      <c r="C3615">
        <v>48.865726030244879</v>
      </c>
      <c r="D3615">
        <v>47</v>
      </c>
      <c r="E3615">
        <v>16</v>
      </c>
      <c r="F3615">
        <v>100</v>
      </c>
      <c r="G3615">
        <v>61</v>
      </c>
      <c r="H3615">
        <v>2051</v>
      </c>
    </row>
    <row r="3616" spans="1:13" x14ac:dyDescent="0.25">
      <c r="A3616" t="s">
        <v>199</v>
      </c>
      <c r="B3616" t="s">
        <v>203</v>
      </c>
      <c r="C3616">
        <v>61.004129400528321</v>
      </c>
      <c r="D3616">
        <v>60</v>
      </c>
      <c r="E3616">
        <v>18</v>
      </c>
      <c r="F3616">
        <v>240</v>
      </c>
      <c r="G3616">
        <v>445</v>
      </c>
      <c r="H3616">
        <v>2051</v>
      </c>
    </row>
    <row r="3617" spans="1:10" x14ac:dyDescent="0.25">
      <c r="A3617" t="s">
        <v>200</v>
      </c>
      <c r="B3617" t="s">
        <v>203</v>
      </c>
      <c r="C3617">
        <v>74.20510070780044</v>
      </c>
      <c r="D3617">
        <v>60</v>
      </c>
      <c r="E3617">
        <v>15</v>
      </c>
      <c r="F3617">
        <v>600</v>
      </c>
      <c r="G3617">
        <v>438</v>
      </c>
      <c r="H3617">
        <v>2051</v>
      </c>
    </row>
    <row r="3618" spans="1:10" x14ac:dyDescent="0.25">
      <c r="A3618" t="s">
        <v>201</v>
      </c>
      <c r="B3618" t="s">
        <v>203</v>
      </c>
      <c r="C3618">
        <v>65.937649392004346</v>
      </c>
      <c r="D3618">
        <v>56</v>
      </c>
      <c r="E3618">
        <v>15</v>
      </c>
      <c r="F3618">
        <v>240</v>
      </c>
      <c r="G3618">
        <v>268</v>
      </c>
      <c r="H3618">
        <v>2051</v>
      </c>
    </row>
    <row r="3619" spans="1:10" x14ac:dyDescent="0.25">
      <c r="A3619" t="s">
        <v>202</v>
      </c>
      <c r="B3619" t="s">
        <v>203</v>
      </c>
      <c r="C3619">
        <v>72.579789485661038</v>
      </c>
      <c r="D3619">
        <v>65</v>
      </c>
      <c r="E3619">
        <v>17</v>
      </c>
      <c r="F3619">
        <v>220</v>
      </c>
      <c r="G3619">
        <v>84</v>
      </c>
      <c r="H3619">
        <v>2051</v>
      </c>
    </row>
    <row r="3620" spans="1:10" x14ac:dyDescent="0.25">
      <c r="A3620" t="s">
        <v>204</v>
      </c>
      <c r="B3620" t="s">
        <v>204</v>
      </c>
      <c r="C3620">
        <v>62.069176633199064</v>
      </c>
      <c r="D3620">
        <v>54</v>
      </c>
      <c r="E3620">
        <v>12</v>
      </c>
      <c r="F3620">
        <v>600</v>
      </c>
      <c r="G3620">
        <v>2051</v>
      </c>
      <c r="H3620">
        <v>2051</v>
      </c>
    </row>
    <row r="3622" spans="1:10" x14ac:dyDescent="0.25">
      <c r="A3622" t="s">
        <v>906</v>
      </c>
    </row>
    <row r="3623" spans="1:10" x14ac:dyDescent="0.25">
      <c r="A3623" t="s">
        <v>189</v>
      </c>
      <c r="B3623" t="s">
        <v>190</v>
      </c>
      <c r="C3623" t="s">
        <v>206</v>
      </c>
      <c r="D3623" t="s">
        <v>529</v>
      </c>
      <c r="E3623" t="s">
        <v>191</v>
      </c>
      <c r="F3623" t="s">
        <v>192</v>
      </c>
      <c r="G3623" t="s">
        <v>193</v>
      </c>
      <c r="H3623" t="s">
        <v>194</v>
      </c>
      <c r="I3623" t="s">
        <v>195</v>
      </c>
      <c r="J3623" t="s">
        <v>196</v>
      </c>
    </row>
    <row r="3624" spans="1:10" s="29" customFormat="1" x14ac:dyDescent="0.25">
      <c r="A3624" s="29" t="s">
        <v>197</v>
      </c>
      <c r="B3624" s="29" t="s">
        <v>198</v>
      </c>
      <c r="C3624" s="29" t="s">
        <v>228</v>
      </c>
      <c r="D3624" s="29" t="s">
        <v>530</v>
      </c>
      <c r="E3624" s="29">
        <v>55.536826346535413</v>
      </c>
      <c r="F3624" s="29">
        <v>50</v>
      </c>
      <c r="G3624" s="29">
        <v>15</v>
      </c>
      <c r="H3624" s="29">
        <v>120</v>
      </c>
      <c r="I3624" s="29">
        <v>28</v>
      </c>
      <c r="J3624" s="29">
        <v>2051</v>
      </c>
    </row>
    <row r="3625" spans="1:10" s="29" customFormat="1" x14ac:dyDescent="0.25">
      <c r="A3625" s="29" t="s">
        <v>197</v>
      </c>
      <c r="B3625" s="29" t="s">
        <v>198</v>
      </c>
      <c r="C3625" s="29" t="s">
        <v>229</v>
      </c>
      <c r="D3625" s="29" t="s">
        <v>530</v>
      </c>
      <c r="E3625" s="29">
        <v>48.025711946319277</v>
      </c>
      <c r="F3625" s="29">
        <v>46</v>
      </c>
      <c r="G3625" s="29">
        <v>12</v>
      </c>
      <c r="H3625" s="29">
        <v>100</v>
      </c>
      <c r="I3625" s="29">
        <v>26</v>
      </c>
      <c r="J3625" s="29">
        <v>2051</v>
      </c>
    </row>
    <row r="3626" spans="1:10" x14ac:dyDescent="0.25">
      <c r="A3626" t="s">
        <v>199</v>
      </c>
      <c r="B3626" t="s">
        <v>198</v>
      </c>
      <c r="C3626" t="s">
        <v>228</v>
      </c>
      <c r="D3626" t="s">
        <v>530</v>
      </c>
      <c r="E3626">
        <v>56.424048597191288</v>
      </c>
      <c r="F3626">
        <v>57</v>
      </c>
      <c r="G3626">
        <v>18</v>
      </c>
      <c r="H3626">
        <v>150</v>
      </c>
      <c r="I3626">
        <v>95</v>
      </c>
      <c r="J3626">
        <v>2051</v>
      </c>
    </row>
    <row r="3627" spans="1:10" x14ac:dyDescent="0.25">
      <c r="A3627" t="s">
        <v>199</v>
      </c>
      <c r="B3627" t="s">
        <v>198</v>
      </c>
      <c r="C3627" t="s">
        <v>229</v>
      </c>
      <c r="D3627" t="s">
        <v>530</v>
      </c>
      <c r="E3627">
        <v>44.960098098743288</v>
      </c>
      <c r="F3627">
        <v>45</v>
      </c>
      <c r="G3627">
        <v>15</v>
      </c>
      <c r="H3627">
        <v>125</v>
      </c>
      <c r="I3627">
        <v>157</v>
      </c>
      <c r="J3627">
        <v>2051</v>
      </c>
    </row>
    <row r="3628" spans="1:10" x14ac:dyDescent="0.25">
      <c r="A3628" t="s">
        <v>200</v>
      </c>
      <c r="B3628" t="s">
        <v>198</v>
      </c>
      <c r="C3628" t="s">
        <v>228</v>
      </c>
      <c r="D3628" t="s">
        <v>530</v>
      </c>
      <c r="E3628">
        <v>64.10308330474065</v>
      </c>
      <c r="F3628">
        <v>60</v>
      </c>
      <c r="G3628">
        <v>13</v>
      </c>
      <c r="H3628">
        <v>156</v>
      </c>
      <c r="I3628">
        <v>76</v>
      </c>
      <c r="J3628">
        <v>2051</v>
      </c>
    </row>
    <row r="3629" spans="1:10" x14ac:dyDescent="0.25">
      <c r="A3629" t="s">
        <v>200</v>
      </c>
      <c r="B3629" t="s">
        <v>198</v>
      </c>
      <c r="C3629" t="s">
        <v>229</v>
      </c>
      <c r="D3629" t="s">
        <v>530</v>
      </c>
      <c r="E3629">
        <v>49.66223563966647</v>
      </c>
      <c r="F3629">
        <v>48</v>
      </c>
      <c r="G3629">
        <v>12</v>
      </c>
      <c r="H3629">
        <v>130</v>
      </c>
      <c r="I3629">
        <v>201</v>
      </c>
      <c r="J3629">
        <v>2051</v>
      </c>
    </row>
    <row r="3630" spans="1:10" x14ac:dyDescent="0.25">
      <c r="A3630" t="s">
        <v>201</v>
      </c>
      <c r="B3630" t="s">
        <v>198</v>
      </c>
      <c r="C3630" t="s">
        <v>228</v>
      </c>
      <c r="D3630" t="s">
        <v>530</v>
      </c>
      <c r="E3630">
        <v>55.643886078995287</v>
      </c>
      <c r="F3630">
        <v>50</v>
      </c>
      <c r="G3630">
        <v>15</v>
      </c>
      <c r="H3630">
        <v>130</v>
      </c>
      <c r="I3630">
        <v>57</v>
      </c>
      <c r="J3630">
        <v>2051</v>
      </c>
    </row>
    <row r="3631" spans="1:10" x14ac:dyDescent="0.25">
      <c r="A3631" t="s">
        <v>201</v>
      </c>
      <c r="B3631" t="s">
        <v>198</v>
      </c>
      <c r="C3631" t="s">
        <v>229</v>
      </c>
      <c r="D3631" t="s">
        <v>530</v>
      </c>
      <c r="E3631">
        <v>52.076131433922733</v>
      </c>
      <c r="F3631">
        <v>50</v>
      </c>
      <c r="G3631">
        <v>12</v>
      </c>
      <c r="H3631">
        <v>200</v>
      </c>
      <c r="I3631">
        <v>103</v>
      </c>
      <c r="J3631">
        <v>2051</v>
      </c>
    </row>
    <row r="3632" spans="1:10" s="29" customFormat="1" x14ac:dyDescent="0.25">
      <c r="A3632" s="29" t="s">
        <v>202</v>
      </c>
      <c r="B3632" s="29" t="s">
        <v>198</v>
      </c>
      <c r="C3632" s="29" t="s">
        <v>228</v>
      </c>
      <c r="D3632" s="29" t="s">
        <v>530</v>
      </c>
      <c r="E3632" s="29">
        <v>48.675348332362233</v>
      </c>
      <c r="F3632" s="29">
        <v>54</v>
      </c>
      <c r="G3632" s="29">
        <v>16</v>
      </c>
      <c r="H3632" s="29">
        <v>90</v>
      </c>
      <c r="I3632" s="29">
        <v>16</v>
      </c>
      <c r="J3632" s="29">
        <v>2051</v>
      </c>
    </row>
    <row r="3633" spans="1:10" x14ac:dyDescent="0.25">
      <c r="A3633" t="s">
        <v>202</v>
      </c>
      <c r="B3633" t="s">
        <v>198</v>
      </c>
      <c r="C3633" t="s">
        <v>229</v>
      </c>
      <c r="D3633" t="s">
        <v>530</v>
      </c>
      <c r="E3633">
        <v>48.909595447931807</v>
      </c>
      <c r="F3633">
        <v>45</v>
      </c>
      <c r="G3633">
        <v>16</v>
      </c>
      <c r="H3633">
        <v>100</v>
      </c>
      <c r="I3633">
        <v>45</v>
      </c>
      <c r="J3633">
        <v>2051</v>
      </c>
    </row>
    <row r="3634" spans="1:10" x14ac:dyDescent="0.25">
      <c r="A3634" t="s">
        <v>199</v>
      </c>
      <c r="B3634" t="s">
        <v>203</v>
      </c>
      <c r="C3634" t="s">
        <v>228</v>
      </c>
      <c r="D3634" t="s">
        <v>530</v>
      </c>
      <c r="E3634">
        <v>62.534717696624107</v>
      </c>
      <c r="F3634">
        <v>60</v>
      </c>
      <c r="G3634">
        <v>18</v>
      </c>
      <c r="H3634">
        <v>150</v>
      </c>
      <c r="I3634">
        <v>113</v>
      </c>
      <c r="J3634">
        <v>2051</v>
      </c>
    </row>
    <row r="3635" spans="1:10" x14ac:dyDescent="0.25">
      <c r="A3635" t="s">
        <v>199</v>
      </c>
      <c r="B3635" t="s">
        <v>203</v>
      </c>
      <c r="C3635" t="s">
        <v>229</v>
      </c>
      <c r="D3635" t="s">
        <v>530</v>
      </c>
      <c r="E3635">
        <v>60.827527383417127</v>
      </c>
      <c r="F3635">
        <v>60</v>
      </c>
      <c r="G3635">
        <v>18</v>
      </c>
      <c r="H3635">
        <v>240</v>
      </c>
      <c r="I3635">
        <v>322</v>
      </c>
      <c r="J3635">
        <v>2051</v>
      </c>
    </row>
    <row r="3636" spans="1:10" x14ac:dyDescent="0.25">
      <c r="A3636" t="s">
        <v>200</v>
      </c>
      <c r="B3636" t="s">
        <v>203</v>
      </c>
      <c r="C3636" t="s">
        <v>228</v>
      </c>
      <c r="D3636" t="s">
        <v>530</v>
      </c>
      <c r="E3636">
        <v>93.868898538139348</v>
      </c>
      <c r="F3636">
        <v>80</v>
      </c>
      <c r="G3636">
        <v>20</v>
      </c>
      <c r="H3636">
        <v>600</v>
      </c>
      <c r="I3636">
        <v>140</v>
      </c>
      <c r="J3636">
        <v>2051</v>
      </c>
    </row>
    <row r="3637" spans="1:10" x14ac:dyDescent="0.25">
      <c r="A3637" t="s">
        <v>200</v>
      </c>
      <c r="B3637" t="s">
        <v>203</v>
      </c>
      <c r="C3637" t="s">
        <v>229</v>
      </c>
      <c r="D3637" t="s">
        <v>530</v>
      </c>
      <c r="E3637">
        <v>68.980702646221204</v>
      </c>
      <c r="F3637">
        <v>56</v>
      </c>
      <c r="G3637">
        <v>15</v>
      </c>
      <c r="H3637">
        <v>300</v>
      </c>
      <c r="I3637">
        <v>297</v>
      </c>
      <c r="J3637">
        <v>2051</v>
      </c>
    </row>
    <row r="3638" spans="1:10" x14ac:dyDescent="0.25">
      <c r="A3638" t="s">
        <v>201</v>
      </c>
      <c r="B3638" t="s">
        <v>203</v>
      </c>
      <c r="C3638" t="s">
        <v>228</v>
      </c>
      <c r="D3638" t="s">
        <v>530</v>
      </c>
      <c r="E3638">
        <v>67.844389101253881</v>
      </c>
      <c r="F3638">
        <v>69</v>
      </c>
      <c r="G3638">
        <v>15</v>
      </c>
      <c r="H3638">
        <v>170</v>
      </c>
      <c r="I3638">
        <v>137</v>
      </c>
      <c r="J3638">
        <v>2051</v>
      </c>
    </row>
    <row r="3639" spans="1:10" x14ac:dyDescent="0.25">
      <c r="A3639" t="s">
        <v>201</v>
      </c>
      <c r="B3639" t="s">
        <v>203</v>
      </c>
      <c r="C3639" t="s">
        <v>229</v>
      </c>
      <c r="D3639" t="s">
        <v>530</v>
      </c>
      <c r="E3639">
        <v>65.406346108955745</v>
      </c>
      <c r="F3639">
        <v>55</v>
      </c>
      <c r="G3639">
        <v>18</v>
      </c>
      <c r="H3639">
        <v>240</v>
      </c>
      <c r="I3639">
        <v>125</v>
      </c>
      <c r="J3639">
        <v>2051</v>
      </c>
    </row>
    <row r="3640" spans="1:10" x14ac:dyDescent="0.25">
      <c r="A3640" t="s">
        <v>202</v>
      </c>
      <c r="B3640" t="s">
        <v>203</v>
      </c>
      <c r="C3640" t="s">
        <v>228</v>
      </c>
      <c r="D3640" t="s">
        <v>530</v>
      </c>
      <c r="E3640">
        <v>108.71576491289299</v>
      </c>
      <c r="F3640">
        <v>100</v>
      </c>
      <c r="G3640">
        <v>43</v>
      </c>
      <c r="H3640">
        <v>220</v>
      </c>
      <c r="I3640">
        <v>31</v>
      </c>
      <c r="J3640">
        <v>2051</v>
      </c>
    </row>
    <row r="3641" spans="1:10" x14ac:dyDescent="0.25">
      <c r="A3641" t="s">
        <v>202</v>
      </c>
      <c r="B3641" t="s">
        <v>203</v>
      </c>
      <c r="C3641" t="s">
        <v>229</v>
      </c>
      <c r="D3641" t="s">
        <v>530</v>
      </c>
      <c r="E3641">
        <v>58.162887042290713</v>
      </c>
      <c r="F3641">
        <v>53</v>
      </c>
      <c r="G3641">
        <v>17</v>
      </c>
      <c r="H3641">
        <v>150</v>
      </c>
      <c r="I3641">
        <v>53</v>
      </c>
      <c r="J3641">
        <v>2051</v>
      </c>
    </row>
    <row r="3642" spans="1:10" x14ac:dyDescent="0.25">
      <c r="A3642" t="s">
        <v>204</v>
      </c>
      <c r="B3642" t="s">
        <v>204</v>
      </c>
      <c r="C3642" t="s">
        <v>204</v>
      </c>
      <c r="D3642" t="s">
        <v>204</v>
      </c>
      <c r="E3642">
        <v>62.069176633199064</v>
      </c>
      <c r="F3642">
        <v>54</v>
      </c>
      <c r="G3642">
        <v>12</v>
      </c>
      <c r="H3642">
        <v>600</v>
      </c>
      <c r="I3642">
        <v>2051</v>
      </c>
      <c r="J3642">
        <v>2051</v>
      </c>
    </row>
    <row r="3644" spans="1:10" x14ac:dyDescent="0.25">
      <c r="A3644" t="s">
        <v>907</v>
      </c>
    </row>
    <row r="3645" spans="1:10" x14ac:dyDescent="0.25">
      <c r="A3645" t="s">
        <v>189</v>
      </c>
      <c r="B3645" t="s">
        <v>190</v>
      </c>
      <c r="C3645" t="s">
        <v>206</v>
      </c>
      <c r="D3645" t="s">
        <v>529</v>
      </c>
      <c r="E3645" t="s">
        <v>191</v>
      </c>
      <c r="F3645" t="s">
        <v>192</v>
      </c>
      <c r="G3645" t="s">
        <v>193</v>
      </c>
      <c r="H3645" t="s">
        <v>194</v>
      </c>
      <c r="I3645" t="s">
        <v>195</v>
      </c>
      <c r="J3645" t="s">
        <v>196</v>
      </c>
    </row>
    <row r="3646" spans="1:10" x14ac:dyDescent="0.25">
      <c r="A3646" t="s">
        <v>197</v>
      </c>
      <c r="B3646" t="s">
        <v>198</v>
      </c>
      <c r="C3646" t="s">
        <v>348</v>
      </c>
      <c r="D3646" t="s">
        <v>532</v>
      </c>
      <c r="E3646">
        <v>52.545457478801779</v>
      </c>
      <c r="F3646">
        <v>50</v>
      </c>
      <c r="G3646">
        <v>12</v>
      </c>
      <c r="H3646">
        <v>120</v>
      </c>
      <c r="I3646">
        <v>52</v>
      </c>
      <c r="J3646">
        <v>2051</v>
      </c>
    </row>
    <row r="3647" spans="1:10" s="29" customFormat="1" x14ac:dyDescent="0.25">
      <c r="A3647" s="29" t="s">
        <v>197</v>
      </c>
      <c r="B3647" s="29" t="s">
        <v>198</v>
      </c>
      <c r="C3647" s="29" t="s">
        <v>349</v>
      </c>
      <c r="D3647" s="29" t="s">
        <v>532</v>
      </c>
      <c r="E3647" s="29">
        <v>40</v>
      </c>
      <c r="F3647" s="29">
        <v>40</v>
      </c>
      <c r="G3647" s="29">
        <v>40</v>
      </c>
      <c r="H3647" s="29">
        <v>40</v>
      </c>
      <c r="I3647" s="29">
        <v>2</v>
      </c>
      <c r="J3647" s="29">
        <v>2051</v>
      </c>
    </row>
    <row r="3648" spans="1:10" x14ac:dyDescent="0.25">
      <c r="A3648" t="s">
        <v>199</v>
      </c>
      <c r="B3648" t="s">
        <v>198</v>
      </c>
      <c r="C3648" t="s">
        <v>348</v>
      </c>
      <c r="D3648" t="s">
        <v>532</v>
      </c>
      <c r="E3648">
        <v>55.297472081305408</v>
      </c>
      <c r="F3648">
        <v>47</v>
      </c>
      <c r="G3648">
        <v>20</v>
      </c>
      <c r="H3648">
        <v>150</v>
      </c>
      <c r="I3648">
        <v>36</v>
      </c>
      <c r="J3648">
        <v>2051</v>
      </c>
    </row>
    <row r="3649" spans="1:10" x14ac:dyDescent="0.25">
      <c r="A3649" t="s">
        <v>199</v>
      </c>
      <c r="B3649" t="s">
        <v>198</v>
      </c>
      <c r="C3649" t="s">
        <v>349</v>
      </c>
      <c r="D3649" t="s">
        <v>532</v>
      </c>
      <c r="E3649">
        <v>49.735711564440017</v>
      </c>
      <c r="F3649">
        <v>48</v>
      </c>
      <c r="G3649">
        <v>18</v>
      </c>
      <c r="H3649">
        <v>100</v>
      </c>
      <c r="I3649">
        <v>75</v>
      </c>
      <c r="J3649">
        <v>2051</v>
      </c>
    </row>
    <row r="3650" spans="1:10" x14ac:dyDescent="0.25">
      <c r="A3650" t="s">
        <v>199</v>
      </c>
      <c r="B3650" t="s">
        <v>198</v>
      </c>
      <c r="C3650" t="s">
        <v>350</v>
      </c>
      <c r="D3650" t="s">
        <v>532</v>
      </c>
      <c r="E3650">
        <v>44.006302995840556</v>
      </c>
      <c r="F3650">
        <v>45</v>
      </c>
      <c r="G3650">
        <v>15</v>
      </c>
      <c r="H3650">
        <v>125</v>
      </c>
      <c r="I3650">
        <v>141</v>
      </c>
      <c r="J3650">
        <v>2051</v>
      </c>
    </row>
    <row r="3651" spans="1:10" x14ac:dyDescent="0.25">
      <c r="A3651" t="s">
        <v>200</v>
      </c>
      <c r="B3651" t="s">
        <v>198</v>
      </c>
      <c r="C3651" t="s">
        <v>348</v>
      </c>
      <c r="D3651" t="s">
        <v>532</v>
      </c>
      <c r="E3651">
        <v>52.006271923817593</v>
      </c>
      <c r="F3651">
        <v>49</v>
      </c>
      <c r="G3651">
        <v>12</v>
      </c>
      <c r="H3651">
        <v>156</v>
      </c>
      <c r="I3651">
        <v>180</v>
      </c>
      <c r="J3651">
        <v>2051</v>
      </c>
    </row>
    <row r="3652" spans="1:10" x14ac:dyDescent="0.25">
      <c r="A3652" t="s">
        <v>200</v>
      </c>
      <c r="B3652" t="s">
        <v>198</v>
      </c>
      <c r="C3652" t="s">
        <v>349</v>
      </c>
      <c r="D3652" t="s">
        <v>532</v>
      </c>
      <c r="E3652">
        <v>63.908886774242063</v>
      </c>
      <c r="F3652">
        <v>62</v>
      </c>
      <c r="G3652">
        <v>28</v>
      </c>
      <c r="H3652">
        <v>130</v>
      </c>
      <c r="I3652">
        <v>44</v>
      </c>
      <c r="J3652">
        <v>2051</v>
      </c>
    </row>
    <row r="3653" spans="1:10" x14ac:dyDescent="0.25">
      <c r="A3653" t="s">
        <v>200</v>
      </c>
      <c r="B3653" t="s">
        <v>198</v>
      </c>
      <c r="C3653" t="s">
        <v>350</v>
      </c>
      <c r="D3653" t="s">
        <v>532</v>
      </c>
      <c r="E3653">
        <v>54.498703475962493</v>
      </c>
      <c r="F3653">
        <v>54</v>
      </c>
      <c r="G3653">
        <v>18</v>
      </c>
      <c r="H3653">
        <v>120</v>
      </c>
      <c r="I3653">
        <v>53</v>
      </c>
      <c r="J3653">
        <v>2051</v>
      </c>
    </row>
    <row r="3654" spans="1:10" x14ac:dyDescent="0.25">
      <c r="A3654" t="s">
        <v>201</v>
      </c>
      <c r="B3654" t="s">
        <v>198</v>
      </c>
      <c r="C3654" t="s">
        <v>348</v>
      </c>
      <c r="D3654" t="s">
        <v>532</v>
      </c>
      <c r="E3654">
        <v>58.35160995235929</v>
      </c>
      <c r="F3654">
        <v>50</v>
      </c>
      <c r="G3654">
        <v>20</v>
      </c>
      <c r="H3654">
        <v>130</v>
      </c>
      <c r="I3654">
        <v>39</v>
      </c>
      <c r="J3654">
        <v>2051</v>
      </c>
    </row>
    <row r="3655" spans="1:10" x14ac:dyDescent="0.25">
      <c r="A3655" t="s">
        <v>201</v>
      </c>
      <c r="B3655" t="s">
        <v>198</v>
      </c>
      <c r="C3655" t="s">
        <v>349</v>
      </c>
      <c r="D3655" t="s">
        <v>532</v>
      </c>
      <c r="E3655">
        <v>51.294190054014813</v>
      </c>
      <c r="F3655">
        <v>50</v>
      </c>
      <c r="G3655">
        <v>12</v>
      </c>
      <c r="H3655">
        <v>200</v>
      </c>
      <c r="I3655">
        <v>86</v>
      </c>
      <c r="J3655">
        <v>2051</v>
      </c>
    </row>
    <row r="3656" spans="1:10" x14ac:dyDescent="0.25">
      <c r="A3656" t="s">
        <v>201</v>
      </c>
      <c r="B3656" t="s">
        <v>198</v>
      </c>
      <c r="C3656" t="s">
        <v>350</v>
      </c>
      <c r="D3656" t="s">
        <v>532</v>
      </c>
      <c r="E3656">
        <v>49.66090207047408</v>
      </c>
      <c r="F3656">
        <v>53</v>
      </c>
      <c r="G3656">
        <v>15</v>
      </c>
      <c r="H3656">
        <v>123</v>
      </c>
      <c r="I3656">
        <v>35</v>
      </c>
      <c r="J3656">
        <v>2051</v>
      </c>
    </row>
    <row r="3657" spans="1:10" x14ac:dyDescent="0.25">
      <c r="A3657" t="s">
        <v>202</v>
      </c>
      <c r="B3657" t="s">
        <v>198</v>
      </c>
      <c r="C3657" t="s">
        <v>348</v>
      </c>
      <c r="D3657" t="s">
        <v>532</v>
      </c>
      <c r="E3657">
        <v>48.865726030244879</v>
      </c>
      <c r="F3657">
        <v>47</v>
      </c>
      <c r="G3657">
        <v>16</v>
      </c>
      <c r="H3657">
        <v>100</v>
      </c>
      <c r="I3657">
        <v>61</v>
      </c>
      <c r="J3657">
        <v>2051</v>
      </c>
    </row>
    <row r="3658" spans="1:10" x14ac:dyDescent="0.25">
      <c r="A3658" t="s">
        <v>199</v>
      </c>
      <c r="B3658" t="s">
        <v>203</v>
      </c>
      <c r="C3658" t="s">
        <v>348</v>
      </c>
      <c r="D3658" t="s">
        <v>532</v>
      </c>
      <c r="E3658">
        <v>48.635554615815288</v>
      </c>
      <c r="F3658">
        <v>50</v>
      </c>
      <c r="G3658">
        <v>24</v>
      </c>
      <c r="H3658">
        <v>200</v>
      </c>
      <c r="I3658">
        <v>34</v>
      </c>
      <c r="J3658">
        <v>2051</v>
      </c>
    </row>
    <row r="3659" spans="1:10" x14ac:dyDescent="0.25">
      <c r="A3659" t="s">
        <v>199</v>
      </c>
      <c r="B3659" t="s">
        <v>203</v>
      </c>
      <c r="C3659" t="s">
        <v>349</v>
      </c>
      <c r="D3659" t="s">
        <v>532</v>
      </c>
      <c r="E3659">
        <v>71.128077272110659</v>
      </c>
      <c r="F3659">
        <v>72</v>
      </c>
      <c r="G3659">
        <v>20</v>
      </c>
      <c r="H3659">
        <v>240</v>
      </c>
      <c r="I3659">
        <v>145</v>
      </c>
      <c r="J3659">
        <v>2051</v>
      </c>
    </row>
    <row r="3660" spans="1:10" x14ac:dyDescent="0.25">
      <c r="A3660" t="s">
        <v>199</v>
      </c>
      <c r="B3660" t="s">
        <v>203</v>
      </c>
      <c r="C3660" t="s">
        <v>350</v>
      </c>
      <c r="D3660" t="s">
        <v>532</v>
      </c>
      <c r="E3660">
        <v>57.118670847316423</v>
      </c>
      <c r="F3660">
        <v>54</v>
      </c>
      <c r="G3660">
        <v>18</v>
      </c>
      <c r="H3660">
        <v>180</v>
      </c>
      <c r="I3660">
        <v>256</v>
      </c>
      <c r="J3660">
        <v>2051</v>
      </c>
    </row>
    <row r="3661" spans="1:10" x14ac:dyDescent="0.25">
      <c r="A3661" t="s">
        <v>200</v>
      </c>
      <c r="B3661" t="s">
        <v>203</v>
      </c>
      <c r="C3661" t="s">
        <v>348</v>
      </c>
      <c r="D3661" t="s">
        <v>532</v>
      </c>
      <c r="E3661">
        <v>76.174910415633505</v>
      </c>
      <c r="F3661">
        <v>60</v>
      </c>
      <c r="G3661">
        <v>15</v>
      </c>
      <c r="H3661">
        <v>600</v>
      </c>
      <c r="I3661">
        <v>253</v>
      </c>
      <c r="J3661">
        <v>2051</v>
      </c>
    </row>
    <row r="3662" spans="1:10" x14ac:dyDescent="0.25">
      <c r="A3662" t="s">
        <v>200</v>
      </c>
      <c r="B3662" t="s">
        <v>203</v>
      </c>
      <c r="C3662" t="s">
        <v>349</v>
      </c>
      <c r="D3662" t="s">
        <v>532</v>
      </c>
      <c r="E3662">
        <v>59.993380861446127</v>
      </c>
      <c r="F3662">
        <v>57</v>
      </c>
      <c r="G3662">
        <v>24</v>
      </c>
      <c r="H3662">
        <v>162</v>
      </c>
      <c r="I3662">
        <v>99</v>
      </c>
      <c r="J3662">
        <v>2051</v>
      </c>
    </row>
    <row r="3663" spans="1:10" x14ac:dyDescent="0.25">
      <c r="A3663" t="s">
        <v>200</v>
      </c>
      <c r="B3663" t="s">
        <v>203</v>
      </c>
      <c r="C3663" t="s">
        <v>350</v>
      </c>
      <c r="D3663" t="s">
        <v>532</v>
      </c>
      <c r="E3663">
        <v>58.788732124048202</v>
      </c>
      <c r="F3663">
        <v>59</v>
      </c>
      <c r="G3663">
        <v>20</v>
      </c>
      <c r="H3663">
        <v>164</v>
      </c>
      <c r="I3663">
        <v>85</v>
      </c>
      <c r="J3663">
        <v>2051</v>
      </c>
    </row>
    <row r="3664" spans="1:10" x14ac:dyDescent="0.25">
      <c r="A3664" t="s">
        <v>201</v>
      </c>
      <c r="B3664" t="s">
        <v>203</v>
      </c>
      <c r="C3664" t="s">
        <v>348</v>
      </c>
      <c r="D3664" t="s">
        <v>532</v>
      </c>
      <c r="E3664">
        <v>71.067234880629783</v>
      </c>
      <c r="F3664">
        <v>64</v>
      </c>
      <c r="G3664">
        <v>24</v>
      </c>
      <c r="H3664">
        <v>240</v>
      </c>
      <c r="I3664">
        <v>51</v>
      </c>
      <c r="J3664">
        <v>2051</v>
      </c>
    </row>
    <row r="3665" spans="1:10" x14ac:dyDescent="0.25">
      <c r="A3665" t="s">
        <v>201</v>
      </c>
      <c r="B3665" t="s">
        <v>203</v>
      </c>
      <c r="C3665" t="s">
        <v>349</v>
      </c>
      <c r="D3665" t="s">
        <v>532</v>
      </c>
      <c r="E3665">
        <v>64.981902252024156</v>
      </c>
      <c r="F3665">
        <v>56</v>
      </c>
      <c r="G3665">
        <v>15</v>
      </c>
      <c r="H3665">
        <v>170</v>
      </c>
      <c r="I3665">
        <v>126</v>
      </c>
      <c r="J3665">
        <v>2051</v>
      </c>
    </row>
    <row r="3666" spans="1:10" x14ac:dyDescent="0.25">
      <c r="A3666" t="s">
        <v>201</v>
      </c>
      <c r="B3666" t="s">
        <v>203</v>
      </c>
      <c r="C3666" t="s">
        <v>350</v>
      </c>
      <c r="D3666" t="s">
        <v>532</v>
      </c>
      <c r="E3666">
        <v>67.961504844994053</v>
      </c>
      <c r="F3666">
        <v>64</v>
      </c>
      <c r="G3666">
        <v>18</v>
      </c>
      <c r="H3666">
        <v>170</v>
      </c>
      <c r="I3666">
        <v>85</v>
      </c>
      <c r="J3666">
        <v>2051</v>
      </c>
    </row>
    <row r="3667" spans="1:10" x14ac:dyDescent="0.25">
      <c r="A3667" t="s">
        <v>202</v>
      </c>
      <c r="B3667" t="s">
        <v>203</v>
      </c>
      <c r="C3667" t="s">
        <v>348</v>
      </c>
      <c r="D3667" t="s">
        <v>532</v>
      </c>
      <c r="E3667">
        <v>72.579789485661038</v>
      </c>
      <c r="F3667">
        <v>65</v>
      </c>
      <c r="G3667">
        <v>17</v>
      </c>
      <c r="H3667">
        <v>220</v>
      </c>
      <c r="I3667">
        <v>84</v>
      </c>
      <c r="J3667">
        <v>2051</v>
      </c>
    </row>
    <row r="3668" spans="1:10" x14ac:dyDescent="0.25">
      <c r="A3668" t="s">
        <v>204</v>
      </c>
      <c r="B3668" t="s">
        <v>204</v>
      </c>
      <c r="C3668" t="s">
        <v>204</v>
      </c>
      <c r="D3668" t="s">
        <v>204</v>
      </c>
      <c r="E3668">
        <v>62.069176633199064</v>
      </c>
      <c r="F3668">
        <v>54</v>
      </c>
      <c r="G3668">
        <v>12</v>
      </c>
      <c r="H3668">
        <v>600</v>
      </c>
      <c r="I3668">
        <v>2051</v>
      </c>
      <c r="J3668">
        <v>2051</v>
      </c>
    </row>
    <row r="3670" spans="1:10" x14ac:dyDescent="0.25">
      <c r="A3670" t="s">
        <v>908</v>
      </c>
    </row>
    <row r="3671" spans="1:10" x14ac:dyDescent="0.25">
      <c r="A3671" t="s">
        <v>189</v>
      </c>
      <c r="B3671" t="s">
        <v>190</v>
      </c>
      <c r="C3671" t="s">
        <v>191</v>
      </c>
      <c r="D3671" t="s">
        <v>192</v>
      </c>
      <c r="E3671" t="s">
        <v>193</v>
      </c>
      <c r="F3671" t="s">
        <v>194</v>
      </c>
      <c r="G3671" t="s">
        <v>195</v>
      </c>
      <c r="H3671" t="s">
        <v>196</v>
      </c>
    </row>
    <row r="3672" spans="1:10" x14ac:dyDescent="0.25">
      <c r="A3672" t="s">
        <v>197</v>
      </c>
      <c r="B3672" t="s">
        <v>198</v>
      </c>
      <c r="C3672">
        <v>2.7096351176782711</v>
      </c>
      <c r="D3672">
        <v>3</v>
      </c>
      <c r="E3672">
        <v>1</v>
      </c>
      <c r="F3672">
        <v>5</v>
      </c>
      <c r="G3672">
        <v>71</v>
      </c>
      <c r="H3672">
        <v>2593</v>
      </c>
    </row>
    <row r="3673" spans="1:10" x14ac:dyDescent="0.25">
      <c r="A3673" t="s">
        <v>199</v>
      </c>
      <c r="B3673" t="s">
        <v>198</v>
      </c>
      <c r="C3673">
        <v>2.696543106604981</v>
      </c>
      <c r="D3673">
        <v>3</v>
      </c>
      <c r="E3673">
        <v>1</v>
      </c>
      <c r="F3673">
        <v>9</v>
      </c>
      <c r="G3673">
        <v>360</v>
      </c>
      <c r="H3673">
        <v>2593</v>
      </c>
    </row>
    <row r="3674" spans="1:10" x14ac:dyDescent="0.25">
      <c r="A3674" t="s">
        <v>200</v>
      </c>
      <c r="B3674" t="s">
        <v>198</v>
      </c>
      <c r="C3674">
        <v>2.9864856106416302</v>
      </c>
      <c r="D3674">
        <v>3</v>
      </c>
      <c r="E3674">
        <v>1</v>
      </c>
      <c r="F3674">
        <v>10</v>
      </c>
      <c r="G3674">
        <v>384</v>
      </c>
      <c r="H3674">
        <v>2593</v>
      </c>
    </row>
    <row r="3675" spans="1:10" x14ac:dyDescent="0.25">
      <c r="A3675" t="s">
        <v>201</v>
      </c>
      <c r="B3675" t="s">
        <v>198</v>
      </c>
      <c r="C3675">
        <v>3.1317084210338511</v>
      </c>
      <c r="D3675">
        <v>3</v>
      </c>
      <c r="E3675">
        <v>1</v>
      </c>
      <c r="F3675">
        <v>10</v>
      </c>
      <c r="G3675">
        <v>251</v>
      </c>
      <c r="H3675">
        <v>2593</v>
      </c>
    </row>
    <row r="3676" spans="1:10" x14ac:dyDescent="0.25">
      <c r="A3676" t="s">
        <v>202</v>
      </c>
      <c r="B3676" t="s">
        <v>198</v>
      </c>
      <c r="C3676">
        <v>2.7561366604309652</v>
      </c>
      <c r="D3676">
        <v>3</v>
      </c>
      <c r="E3676">
        <v>1</v>
      </c>
      <c r="F3676">
        <v>10</v>
      </c>
      <c r="G3676">
        <v>88</v>
      </c>
      <c r="H3676">
        <v>2593</v>
      </c>
    </row>
    <row r="3677" spans="1:10" x14ac:dyDescent="0.25">
      <c r="A3677" t="s">
        <v>199</v>
      </c>
      <c r="B3677" t="s">
        <v>203</v>
      </c>
      <c r="C3677">
        <v>2.855022741543034</v>
      </c>
      <c r="D3677">
        <v>3</v>
      </c>
      <c r="E3677">
        <v>1</v>
      </c>
      <c r="F3677">
        <v>12</v>
      </c>
      <c r="G3677">
        <v>527</v>
      </c>
      <c r="H3677">
        <v>2593</v>
      </c>
    </row>
    <row r="3678" spans="1:10" x14ac:dyDescent="0.25">
      <c r="A3678" t="s">
        <v>200</v>
      </c>
      <c r="B3678" t="s">
        <v>203</v>
      </c>
      <c r="C3678">
        <v>2.95924808447282</v>
      </c>
      <c r="D3678">
        <v>3</v>
      </c>
      <c r="E3678">
        <v>1</v>
      </c>
      <c r="F3678">
        <v>11</v>
      </c>
      <c r="G3678">
        <v>503</v>
      </c>
      <c r="H3678">
        <v>2593</v>
      </c>
    </row>
    <row r="3679" spans="1:10" x14ac:dyDescent="0.25">
      <c r="A3679" t="s">
        <v>201</v>
      </c>
      <c r="B3679" t="s">
        <v>203</v>
      </c>
      <c r="C3679">
        <v>2.6933626830084521</v>
      </c>
      <c r="D3679">
        <v>3</v>
      </c>
      <c r="E3679">
        <v>1</v>
      </c>
      <c r="F3679">
        <v>9</v>
      </c>
      <c r="G3679">
        <v>319</v>
      </c>
      <c r="H3679">
        <v>2593</v>
      </c>
    </row>
    <row r="3680" spans="1:10" x14ac:dyDescent="0.25">
      <c r="A3680" t="s">
        <v>202</v>
      </c>
      <c r="B3680" t="s">
        <v>203</v>
      </c>
      <c r="C3680">
        <v>2.887462790440412</v>
      </c>
      <c r="D3680">
        <v>3</v>
      </c>
      <c r="E3680">
        <v>1</v>
      </c>
      <c r="F3680">
        <v>7</v>
      </c>
      <c r="G3680">
        <v>90</v>
      </c>
      <c r="H3680">
        <v>2593</v>
      </c>
    </row>
    <row r="3681" spans="1:10" x14ac:dyDescent="0.25">
      <c r="A3681" t="s">
        <v>204</v>
      </c>
      <c r="B3681" t="s">
        <v>204</v>
      </c>
      <c r="C3681">
        <v>2.872275691651959</v>
      </c>
      <c r="D3681">
        <v>3</v>
      </c>
      <c r="E3681">
        <v>1</v>
      </c>
      <c r="F3681">
        <v>12</v>
      </c>
      <c r="G3681">
        <v>2593</v>
      </c>
      <c r="H3681">
        <v>2593</v>
      </c>
    </row>
    <row r="3683" spans="1:10" x14ac:dyDescent="0.25">
      <c r="A3683" t="s">
        <v>909</v>
      </c>
    </row>
    <row r="3684" spans="1:10" x14ac:dyDescent="0.25">
      <c r="A3684" t="s">
        <v>189</v>
      </c>
      <c r="B3684" t="s">
        <v>190</v>
      </c>
      <c r="C3684" t="s">
        <v>206</v>
      </c>
      <c r="D3684" t="s">
        <v>529</v>
      </c>
      <c r="E3684" t="s">
        <v>191</v>
      </c>
      <c r="F3684" t="s">
        <v>192</v>
      </c>
      <c r="G3684" t="s">
        <v>193</v>
      </c>
      <c r="H3684" t="s">
        <v>194</v>
      </c>
      <c r="I3684" t="s">
        <v>195</v>
      </c>
      <c r="J3684" t="s">
        <v>196</v>
      </c>
    </row>
    <row r="3685" spans="1:10" x14ac:dyDescent="0.25">
      <c r="A3685" t="s">
        <v>197</v>
      </c>
      <c r="B3685" t="s">
        <v>198</v>
      </c>
      <c r="C3685" t="s">
        <v>228</v>
      </c>
      <c r="D3685" t="s">
        <v>530</v>
      </c>
      <c r="E3685">
        <v>2.7277359828882921</v>
      </c>
      <c r="F3685">
        <v>3</v>
      </c>
      <c r="G3685">
        <v>1</v>
      </c>
      <c r="H3685">
        <v>5</v>
      </c>
      <c r="I3685">
        <v>31</v>
      </c>
      <c r="J3685">
        <v>2593</v>
      </c>
    </row>
    <row r="3686" spans="1:10" x14ac:dyDescent="0.25">
      <c r="A3686" t="s">
        <v>197</v>
      </c>
      <c r="B3686" t="s">
        <v>198</v>
      </c>
      <c r="C3686" t="s">
        <v>229</v>
      </c>
      <c r="D3686" t="s">
        <v>530</v>
      </c>
      <c r="E3686">
        <v>2.693421296063073</v>
      </c>
      <c r="F3686">
        <v>3</v>
      </c>
      <c r="G3686">
        <v>1</v>
      </c>
      <c r="H3686">
        <v>5</v>
      </c>
      <c r="I3686">
        <v>40</v>
      </c>
      <c r="J3686">
        <v>2593</v>
      </c>
    </row>
    <row r="3687" spans="1:10" x14ac:dyDescent="0.25">
      <c r="A3687" t="s">
        <v>199</v>
      </c>
      <c r="B3687" t="s">
        <v>198</v>
      </c>
      <c r="C3687" t="s">
        <v>228</v>
      </c>
      <c r="D3687" t="s">
        <v>530</v>
      </c>
      <c r="E3687">
        <v>2.7346609266918391</v>
      </c>
      <c r="F3687">
        <v>3</v>
      </c>
      <c r="G3687">
        <v>1</v>
      </c>
      <c r="H3687">
        <v>9</v>
      </c>
      <c r="I3687">
        <v>143</v>
      </c>
      <c r="J3687">
        <v>2593</v>
      </c>
    </row>
    <row r="3688" spans="1:10" x14ac:dyDescent="0.25">
      <c r="A3688" t="s">
        <v>199</v>
      </c>
      <c r="B3688" t="s">
        <v>198</v>
      </c>
      <c r="C3688" t="s">
        <v>229</v>
      </c>
      <c r="D3688" t="s">
        <v>530</v>
      </c>
      <c r="E3688">
        <v>2.680253213024864</v>
      </c>
      <c r="F3688">
        <v>3</v>
      </c>
      <c r="G3688">
        <v>1</v>
      </c>
      <c r="H3688">
        <v>7</v>
      </c>
      <c r="I3688">
        <v>208</v>
      </c>
      <c r="J3688">
        <v>2593</v>
      </c>
    </row>
    <row r="3689" spans="1:10" x14ac:dyDescent="0.25">
      <c r="A3689" t="s">
        <v>200</v>
      </c>
      <c r="B3689" t="s">
        <v>198</v>
      </c>
      <c r="C3689" t="s">
        <v>228</v>
      </c>
      <c r="D3689" t="s">
        <v>530</v>
      </c>
      <c r="E3689">
        <v>3.2509232327534838</v>
      </c>
      <c r="F3689">
        <v>3</v>
      </c>
      <c r="G3689">
        <v>1</v>
      </c>
      <c r="H3689">
        <v>10</v>
      </c>
      <c r="I3689">
        <v>111</v>
      </c>
      <c r="J3689">
        <v>2593</v>
      </c>
    </row>
    <row r="3690" spans="1:10" x14ac:dyDescent="0.25">
      <c r="A3690" t="s">
        <v>200</v>
      </c>
      <c r="B3690" t="s">
        <v>198</v>
      </c>
      <c r="C3690" t="s">
        <v>229</v>
      </c>
      <c r="D3690" t="s">
        <v>530</v>
      </c>
      <c r="E3690">
        <v>2.909308045707887</v>
      </c>
      <c r="F3690">
        <v>3</v>
      </c>
      <c r="G3690">
        <v>1</v>
      </c>
      <c r="H3690">
        <v>8</v>
      </c>
      <c r="I3690">
        <v>268</v>
      </c>
      <c r="J3690">
        <v>2593</v>
      </c>
    </row>
    <row r="3691" spans="1:10" x14ac:dyDescent="0.25">
      <c r="A3691" t="s">
        <v>201</v>
      </c>
      <c r="B3691" t="s">
        <v>198</v>
      </c>
      <c r="C3691" t="s">
        <v>228</v>
      </c>
      <c r="D3691" t="s">
        <v>530</v>
      </c>
      <c r="E3691">
        <v>3.300126267630874</v>
      </c>
      <c r="F3691">
        <v>3</v>
      </c>
      <c r="G3691">
        <v>1</v>
      </c>
      <c r="H3691">
        <v>9</v>
      </c>
      <c r="I3691">
        <v>92</v>
      </c>
      <c r="J3691">
        <v>2593</v>
      </c>
    </row>
    <row r="3692" spans="1:10" x14ac:dyDescent="0.25">
      <c r="A3692" t="s">
        <v>201</v>
      </c>
      <c r="B3692" t="s">
        <v>198</v>
      </c>
      <c r="C3692" t="s">
        <v>229</v>
      </c>
      <c r="D3692" t="s">
        <v>530</v>
      </c>
      <c r="E3692">
        <v>3.094964786162103</v>
      </c>
      <c r="F3692">
        <v>3</v>
      </c>
      <c r="G3692">
        <v>1</v>
      </c>
      <c r="H3692">
        <v>10</v>
      </c>
      <c r="I3692">
        <v>153</v>
      </c>
      <c r="J3692">
        <v>2593</v>
      </c>
    </row>
    <row r="3693" spans="1:10" s="29" customFormat="1" x14ac:dyDescent="0.25">
      <c r="A3693" s="29" t="s">
        <v>202</v>
      </c>
      <c r="B3693" s="29" t="s">
        <v>198</v>
      </c>
      <c r="C3693" s="29" t="s">
        <v>228</v>
      </c>
      <c r="D3693" s="29" t="s">
        <v>530</v>
      </c>
      <c r="E3693" s="29">
        <v>3.441546937042308</v>
      </c>
      <c r="F3693" s="29">
        <v>4</v>
      </c>
      <c r="G3693" s="29">
        <v>1</v>
      </c>
      <c r="H3693" s="29">
        <v>10</v>
      </c>
      <c r="I3693" s="29">
        <v>23</v>
      </c>
      <c r="J3693" s="29">
        <v>2593</v>
      </c>
    </row>
    <row r="3694" spans="1:10" x14ac:dyDescent="0.25">
      <c r="A3694" t="s">
        <v>202</v>
      </c>
      <c r="B3694" t="s">
        <v>198</v>
      </c>
      <c r="C3694" t="s">
        <v>229</v>
      </c>
      <c r="D3694" t="s">
        <v>530</v>
      </c>
      <c r="E3694">
        <v>2.5706001369060711</v>
      </c>
      <c r="F3694">
        <v>3</v>
      </c>
      <c r="G3694">
        <v>1</v>
      </c>
      <c r="H3694">
        <v>7</v>
      </c>
      <c r="I3694">
        <v>65</v>
      </c>
      <c r="J3694">
        <v>2593</v>
      </c>
    </row>
    <row r="3695" spans="1:10" x14ac:dyDescent="0.25">
      <c r="A3695" t="s">
        <v>199</v>
      </c>
      <c r="B3695" t="s">
        <v>203</v>
      </c>
      <c r="C3695" t="s">
        <v>228</v>
      </c>
      <c r="D3695" t="s">
        <v>530</v>
      </c>
      <c r="E3695">
        <v>2.8311563058311808</v>
      </c>
      <c r="F3695">
        <v>2</v>
      </c>
      <c r="G3695">
        <v>1</v>
      </c>
      <c r="H3695">
        <v>7</v>
      </c>
      <c r="I3695">
        <v>149</v>
      </c>
      <c r="J3695">
        <v>2593</v>
      </c>
    </row>
    <row r="3696" spans="1:10" x14ac:dyDescent="0.25">
      <c r="A3696" t="s">
        <v>199</v>
      </c>
      <c r="B3696" t="s">
        <v>203</v>
      </c>
      <c r="C3696" t="s">
        <v>229</v>
      </c>
      <c r="D3696" t="s">
        <v>530</v>
      </c>
      <c r="E3696">
        <v>2.855916950772599</v>
      </c>
      <c r="F3696">
        <v>3</v>
      </c>
      <c r="G3696">
        <v>1</v>
      </c>
      <c r="H3696">
        <v>12</v>
      </c>
      <c r="I3696">
        <v>368</v>
      </c>
      <c r="J3696">
        <v>2593</v>
      </c>
    </row>
    <row r="3697" spans="1:10" x14ac:dyDescent="0.25">
      <c r="A3697" t="s">
        <v>200</v>
      </c>
      <c r="B3697" t="s">
        <v>203</v>
      </c>
      <c r="C3697" t="s">
        <v>228</v>
      </c>
      <c r="D3697" t="s">
        <v>530</v>
      </c>
      <c r="E3697">
        <v>3.1342076021993281</v>
      </c>
      <c r="F3697">
        <v>3</v>
      </c>
      <c r="G3697">
        <v>1</v>
      </c>
      <c r="H3697">
        <v>8</v>
      </c>
      <c r="I3697">
        <v>155</v>
      </c>
      <c r="J3697">
        <v>2593</v>
      </c>
    </row>
    <row r="3698" spans="1:10" x14ac:dyDescent="0.25">
      <c r="A3698" t="s">
        <v>200</v>
      </c>
      <c r="B3698" t="s">
        <v>203</v>
      </c>
      <c r="C3698" t="s">
        <v>229</v>
      </c>
      <c r="D3698" t="s">
        <v>530</v>
      </c>
      <c r="E3698">
        <v>2.9172877831430299</v>
      </c>
      <c r="F3698">
        <v>3</v>
      </c>
      <c r="G3698">
        <v>1</v>
      </c>
      <c r="H3698">
        <v>11</v>
      </c>
      <c r="I3698">
        <v>347</v>
      </c>
      <c r="J3698">
        <v>2593</v>
      </c>
    </row>
    <row r="3699" spans="1:10" x14ac:dyDescent="0.25">
      <c r="A3699" t="s">
        <v>201</v>
      </c>
      <c r="B3699" t="s">
        <v>203</v>
      </c>
      <c r="C3699" t="s">
        <v>228</v>
      </c>
      <c r="D3699" t="s">
        <v>530</v>
      </c>
      <c r="E3699">
        <v>2.8857686421396398</v>
      </c>
      <c r="F3699">
        <v>3</v>
      </c>
      <c r="G3699">
        <v>1</v>
      </c>
      <c r="H3699">
        <v>9</v>
      </c>
      <c r="I3699">
        <v>177</v>
      </c>
      <c r="J3699">
        <v>2593</v>
      </c>
    </row>
    <row r="3700" spans="1:10" x14ac:dyDescent="0.25">
      <c r="A3700" t="s">
        <v>201</v>
      </c>
      <c r="B3700" t="s">
        <v>203</v>
      </c>
      <c r="C3700" t="s">
        <v>229</v>
      </c>
      <c r="D3700" t="s">
        <v>530</v>
      </c>
      <c r="E3700">
        <v>2.630219030129008</v>
      </c>
      <c r="F3700">
        <v>3</v>
      </c>
      <c r="G3700">
        <v>1</v>
      </c>
      <c r="H3700">
        <v>7</v>
      </c>
      <c r="I3700">
        <v>135</v>
      </c>
      <c r="J3700">
        <v>2593</v>
      </c>
    </row>
    <row r="3701" spans="1:10" x14ac:dyDescent="0.25">
      <c r="A3701" t="s">
        <v>202</v>
      </c>
      <c r="B3701" t="s">
        <v>203</v>
      </c>
      <c r="C3701" t="s">
        <v>228</v>
      </c>
      <c r="D3701" t="s">
        <v>530</v>
      </c>
      <c r="E3701">
        <v>3.3477450546265972</v>
      </c>
      <c r="F3701">
        <v>3</v>
      </c>
      <c r="G3701">
        <v>1</v>
      </c>
      <c r="H3701">
        <v>7</v>
      </c>
      <c r="I3701">
        <v>34</v>
      </c>
      <c r="J3701">
        <v>2593</v>
      </c>
    </row>
    <row r="3702" spans="1:10" x14ac:dyDescent="0.25">
      <c r="A3702" t="s">
        <v>202</v>
      </c>
      <c r="B3702" t="s">
        <v>203</v>
      </c>
      <c r="C3702" t="s">
        <v>229</v>
      </c>
      <c r="D3702" t="s">
        <v>530</v>
      </c>
      <c r="E3702">
        <v>2.7060567134266429</v>
      </c>
      <c r="F3702">
        <v>3</v>
      </c>
      <c r="G3702">
        <v>1</v>
      </c>
      <c r="H3702">
        <v>6</v>
      </c>
      <c r="I3702">
        <v>56</v>
      </c>
      <c r="J3702">
        <v>2593</v>
      </c>
    </row>
    <row r="3703" spans="1:10" x14ac:dyDescent="0.25">
      <c r="A3703" t="s">
        <v>204</v>
      </c>
      <c r="B3703" t="s">
        <v>204</v>
      </c>
      <c r="C3703" t="s">
        <v>204</v>
      </c>
      <c r="D3703" t="s">
        <v>204</v>
      </c>
      <c r="E3703">
        <v>2.872275691651959</v>
      </c>
      <c r="F3703">
        <v>3</v>
      </c>
      <c r="G3703">
        <v>1</v>
      </c>
      <c r="H3703">
        <v>12</v>
      </c>
      <c r="I3703">
        <v>2593</v>
      </c>
      <c r="J3703">
        <v>2593</v>
      </c>
    </row>
    <row r="3705" spans="1:10" x14ac:dyDescent="0.25">
      <c r="A3705" t="s">
        <v>910</v>
      </c>
    </row>
    <row r="3706" spans="1:10" x14ac:dyDescent="0.25">
      <c r="A3706" t="s">
        <v>189</v>
      </c>
      <c r="B3706" t="s">
        <v>190</v>
      </c>
      <c r="C3706" t="s">
        <v>206</v>
      </c>
      <c r="D3706" t="s">
        <v>529</v>
      </c>
      <c r="E3706" t="s">
        <v>191</v>
      </c>
      <c r="F3706" t="s">
        <v>192</v>
      </c>
      <c r="G3706" t="s">
        <v>193</v>
      </c>
      <c r="H3706" t="s">
        <v>194</v>
      </c>
      <c r="I3706" t="s">
        <v>195</v>
      </c>
      <c r="J3706" t="s">
        <v>196</v>
      </c>
    </row>
    <row r="3707" spans="1:10" x14ac:dyDescent="0.25">
      <c r="A3707" t="s">
        <v>197</v>
      </c>
      <c r="B3707" t="s">
        <v>198</v>
      </c>
      <c r="C3707" t="s">
        <v>348</v>
      </c>
      <c r="D3707" t="s">
        <v>532</v>
      </c>
      <c r="E3707">
        <v>2.702120430754849</v>
      </c>
      <c r="F3707">
        <v>3</v>
      </c>
      <c r="G3707">
        <v>1</v>
      </c>
      <c r="H3707">
        <v>5</v>
      </c>
      <c r="I3707">
        <v>69</v>
      </c>
      <c r="J3707">
        <v>2593</v>
      </c>
    </row>
    <row r="3708" spans="1:10" s="29" customFormat="1" x14ac:dyDescent="0.25">
      <c r="A3708" s="29" t="s">
        <v>197</v>
      </c>
      <c r="B3708" s="29" t="s">
        <v>198</v>
      </c>
      <c r="C3708" s="29" t="s">
        <v>349</v>
      </c>
      <c r="D3708" s="29" t="s">
        <v>532</v>
      </c>
      <c r="E3708" s="29">
        <v>3</v>
      </c>
      <c r="F3708" s="29">
        <v>1</v>
      </c>
      <c r="G3708" s="29">
        <v>1</v>
      </c>
      <c r="H3708" s="29">
        <v>5</v>
      </c>
      <c r="I3708" s="29">
        <v>2</v>
      </c>
      <c r="J3708" s="29">
        <v>2593</v>
      </c>
    </row>
    <row r="3709" spans="1:10" x14ac:dyDescent="0.25">
      <c r="A3709" t="s">
        <v>199</v>
      </c>
      <c r="B3709" t="s">
        <v>198</v>
      </c>
      <c r="C3709" t="s">
        <v>348</v>
      </c>
      <c r="D3709" t="s">
        <v>532</v>
      </c>
      <c r="E3709">
        <v>2.4979546232876979</v>
      </c>
      <c r="F3709">
        <v>2</v>
      </c>
      <c r="G3709">
        <v>1</v>
      </c>
      <c r="H3709">
        <v>6</v>
      </c>
      <c r="I3709">
        <v>52</v>
      </c>
      <c r="J3709">
        <v>2593</v>
      </c>
    </row>
    <row r="3710" spans="1:10" x14ac:dyDescent="0.25">
      <c r="A3710" t="s">
        <v>199</v>
      </c>
      <c r="B3710" t="s">
        <v>198</v>
      </c>
      <c r="C3710" t="s">
        <v>349</v>
      </c>
      <c r="D3710" t="s">
        <v>532</v>
      </c>
      <c r="E3710">
        <v>2.579643175881507</v>
      </c>
      <c r="F3710">
        <v>3</v>
      </c>
      <c r="G3710">
        <v>1</v>
      </c>
      <c r="H3710">
        <v>6</v>
      </c>
      <c r="I3710">
        <v>110</v>
      </c>
      <c r="J3710">
        <v>2593</v>
      </c>
    </row>
    <row r="3711" spans="1:10" x14ac:dyDescent="0.25">
      <c r="A3711" t="s">
        <v>199</v>
      </c>
      <c r="B3711" t="s">
        <v>198</v>
      </c>
      <c r="C3711" t="s">
        <v>350</v>
      </c>
      <c r="D3711" t="s">
        <v>532</v>
      </c>
      <c r="E3711">
        <v>2.8898004678282332</v>
      </c>
      <c r="F3711">
        <v>3</v>
      </c>
      <c r="G3711">
        <v>1</v>
      </c>
      <c r="H3711">
        <v>9</v>
      </c>
      <c r="I3711">
        <v>189</v>
      </c>
      <c r="J3711">
        <v>2593</v>
      </c>
    </row>
    <row r="3712" spans="1:10" x14ac:dyDescent="0.25">
      <c r="A3712" t="s">
        <v>200</v>
      </c>
      <c r="B3712" t="s">
        <v>198</v>
      </c>
      <c r="C3712" t="s">
        <v>348</v>
      </c>
      <c r="D3712" t="s">
        <v>532</v>
      </c>
      <c r="E3712">
        <v>2.9734454641882109</v>
      </c>
      <c r="F3712">
        <v>3</v>
      </c>
      <c r="G3712">
        <v>1</v>
      </c>
      <c r="H3712">
        <v>10</v>
      </c>
      <c r="I3712">
        <v>240</v>
      </c>
      <c r="J3712">
        <v>2593</v>
      </c>
    </row>
    <row r="3713" spans="1:10" x14ac:dyDescent="0.25">
      <c r="A3713" t="s">
        <v>200</v>
      </c>
      <c r="B3713" t="s">
        <v>198</v>
      </c>
      <c r="C3713" t="s">
        <v>349</v>
      </c>
      <c r="D3713" t="s">
        <v>532</v>
      </c>
      <c r="E3713">
        <v>3.260575744875323</v>
      </c>
      <c r="F3713">
        <v>3</v>
      </c>
      <c r="G3713">
        <v>1</v>
      </c>
      <c r="H3713">
        <v>9</v>
      </c>
      <c r="I3713">
        <v>61</v>
      </c>
      <c r="J3713">
        <v>2593</v>
      </c>
    </row>
    <row r="3714" spans="1:10" x14ac:dyDescent="0.25">
      <c r="A3714" t="s">
        <v>200</v>
      </c>
      <c r="B3714" t="s">
        <v>198</v>
      </c>
      <c r="C3714" t="s">
        <v>350</v>
      </c>
      <c r="D3714" t="s">
        <v>532</v>
      </c>
      <c r="E3714">
        <v>2.9541246771307819</v>
      </c>
      <c r="F3714">
        <v>3</v>
      </c>
      <c r="G3714">
        <v>1</v>
      </c>
      <c r="H3714">
        <v>6</v>
      </c>
      <c r="I3714">
        <v>78</v>
      </c>
      <c r="J3714">
        <v>2593</v>
      </c>
    </row>
    <row r="3715" spans="1:10" x14ac:dyDescent="0.25">
      <c r="A3715" t="s">
        <v>201</v>
      </c>
      <c r="B3715" t="s">
        <v>198</v>
      </c>
      <c r="C3715" t="s">
        <v>348</v>
      </c>
      <c r="D3715" t="s">
        <v>532</v>
      </c>
      <c r="E3715">
        <v>3.425951892068654</v>
      </c>
      <c r="F3715">
        <v>3</v>
      </c>
      <c r="G3715">
        <v>1</v>
      </c>
      <c r="H3715">
        <v>10</v>
      </c>
      <c r="I3715">
        <v>59</v>
      </c>
      <c r="J3715">
        <v>2593</v>
      </c>
    </row>
    <row r="3716" spans="1:10" x14ac:dyDescent="0.25">
      <c r="A3716" t="s">
        <v>201</v>
      </c>
      <c r="B3716" t="s">
        <v>198</v>
      </c>
      <c r="C3716" t="s">
        <v>349</v>
      </c>
      <c r="D3716" t="s">
        <v>532</v>
      </c>
      <c r="E3716">
        <v>3.0695054420192882</v>
      </c>
      <c r="F3716">
        <v>3</v>
      </c>
      <c r="G3716">
        <v>1</v>
      </c>
      <c r="H3716">
        <v>6</v>
      </c>
      <c r="I3716">
        <v>124</v>
      </c>
      <c r="J3716">
        <v>2593</v>
      </c>
    </row>
    <row r="3717" spans="1:10" x14ac:dyDescent="0.25">
      <c r="A3717" t="s">
        <v>201</v>
      </c>
      <c r="B3717" t="s">
        <v>198</v>
      </c>
      <c r="C3717" t="s">
        <v>350</v>
      </c>
      <c r="D3717" t="s">
        <v>532</v>
      </c>
      <c r="E3717">
        <v>2.599046550720483</v>
      </c>
      <c r="F3717">
        <v>2</v>
      </c>
      <c r="G3717">
        <v>1</v>
      </c>
      <c r="H3717">
        <v>7</v>
      </c>
      <c r="I3717">
        <v>62</v>
      </c>
      <c r="J3717">
        <v>2593</v>
      </c>
    </row>
    <row r="3718" spans="1:10" x14ac:dyDescent="0.25">
      <c r="A3718" t="s">
        <v>202</v>
      </c>
      <c r="B3718" t="s">
        <v>198</v>
      </c>
      <c r="C3718" t="s">
        <v>348</v>
      </c>
      <c r="D3718" t="s">
        <v>532</v>
      </c>
      <c r="E3718">
        <v>2.7561366604309652</v>
      </c>
      <c r="F3718">
        <v>3</v>
      </c>
      <c r="G3718">
        <v>1</v>
      </c>
      <c r="H3718">
        <v>10</v>
      </c>
      <c r="I3718">
        <v>88</v>
      </c>
      <c r="J3718">
        <v>2593</v>
      </c>
    </row>
    <row r="3719" spans="1:10" x14ac:dyDescent="0.25">
      <c r="A3719" t="s">
        <v>199</v>
      </c>
      <c r="B3719" t="s">
        <v>203</v>
      </c>
      <c r="C3719" t="s">
        <v>348</v>
      </c>
      <c r="D3719" t="s">
        <v>532</v>
      </c>
      <c r="E3719">
        <v>2.6961806463033708</v>
      </c>
      <c r="F3719">
        <v>3</v>
      </c>
      <c r="G3719">
        <v>1</v>
      </c>
      <c r="H3719">
        <v>6</v>
      </c>
      <c r="I3719">
        <v>42</v>
      </c>
      <c r="J3719">
        <v>2593</v>
      </c>
    </row>
    <row r="3720" spans="1:10" x14ac:dyDescent="0.25">
      <c r="A3720" t="s">
        <v>199</v>
      </c>
      <c r="B3720" t="s">
        <v>203</v>
      </c>
      <c r="C3720" t="s">
        <v>349</v>
      </c>
      <c r="D3720" t="s">
        <v>532</v>
      </c>
      <c r="E3720">
        <v>3.1214015013378198</v>
      </c>
      <c r="F3720">
        <v>3</v>
      </c>
      <c r="G3720">
        <v>1</v>
      </c>
      <c r="H3720">
        <v>7</v>
      </c>
      <c r="I3720">
        <v>171</v>
      </c>
      <c r="J3720">
        <v>2593</v>
      </c>
    </row>
    <row r="3721" spans="1:10" x14ac:dyDescent="0.25">
      <c r="A3721" t="s">
        <v>199</v>
      </c>
      <c r="B3721" t="s">
        <v>203</v>
      </c>
      <c r="C3721" t="s">
        <v>350</v>
      </c>
      <c r="D3721" t="s">
        <v>532</v>
      </c>
      <c r="E3721">
        <v>2.726079123531874</v>
      </c>
      <c r="F3721">
        <v>3</v>
      </c>
      <c r="G3721">
        <v>1</v>
      </c>
      <c r="H3721">
        <v>12</v>
      </c>
      <c r="I3721">
        <v>304</v>
      </c>
      <c r="J3721">
        <v>2593</v>
      </c>
    </row>
    <row r="3722" spans="1:10" x14ac:dyDescent="0.25">
      <c r="A3722" t="s">
        <v>200</v>
      </c>
      <c r="B3722" t="s">
        <v>203</v>
      </c>
      <c r="C3722" t="s">
        <v>348</v>
      </c>
      <c r="D3722" t="s">
        <v>532</v>
      </c>
      <c r="E3722">
        <v>2.9747605506605299</v>
      </c>
      <c r="F3722">
        <v>3</v>
      </c>
      <c r="G3722">
        <v>1</v>
      </c>
      <c r="H3722">
        <v>11</v>
      </c>
      <c r="I3722">
        <v>300</v>
      </c>
      <c r="J3722">
        <v>2593</v>
      </c>
    </row>
    <row r="3723" spans="1:10" x14ac:dyDescent="0.25">
      <c r="A3723" t="s">
        <v>200</v>
      </c>
      <c r="B3723" t="s">
        <v>203</v>
      </c>
      <c r="C3723" t="s">
        <v>349</v>
      </c>
      <c r="D3723" t="s">
        <v>532</v>
      </c>
      <c r="E3723">
        <v>2.7521105869817482</v>
      </c>
      <c r="F3723">
        <v>3</v>
      </c>
      <c r="G3723">
        <v>1</v>
      </c>
      <c r="H3723">
        <v>8</v>
      </c>
      <c r="I3723">
        <v>108</v>
      </c>
      <c r="J3723">
        <v>2593</v>
      </c>
    </row>
    <row r="3724" spans="1:10" x14ac:dyDescent="0.25">
      <c r="A3724" t="s">
        <v>200</v>
      </c>
      <c r="B3724" t="s">
        <v>203</v>
      </c>
      <c r="C3724" t="s">
        <v>350</v>
      </c>
      <c r="D3724" t="s">
        <v>532</v>
      </c>
      <c r="E3724">
        <v>3.0438593076078808</v>
      </c>
      <c r="F3724">
        <v>3</v>
      </c>
      <c r="G3724">
        <v>1</v>
      </c>
      <c r="H3724">
        <v>6</v>
      </c>
      <c r="I3724">
        <v>94</v>
      </c>
      <c r="J3724">
        <v>2593</v>
      </c>
    </row>
    <row r="3725" spans="1:10" x14ac:dyDescent="0.25">
      <c r="A3725" t="s">
        <v>201</v>
      </c>
      <c r="B3725" t="s">
        <v>203</v>
      </c>
      <c r="C3725" t="s">
        <v>348</v>
      </c>
      <c r="D3725" t="s">
        <v>532</v>
      </c>
      <c r="E3725">
        <v>2.4928256393122088</v>
      </c>
      <c r="F3725">
        <v>2</v>
      </c>
      <c r="G3725">
        <v>1</v>
      </c>
      <c r="H3725">
        <v>6</v>
      </c>
      <c r="I3725">
        <v>62</v>
      </c>
      <c r="J3725">
        <v>2593</v>
      </c>
    </row>
    <row r="3726" spans="1:10" x14ac:dyDescent="0.25">
      <c r="A3726" t="s">
        <v>201</v>
      </c>
      <c r="B3726" t="s">
        <v>203</v>
      </c>
      <c r="C3726" t="s">
        <v>349</v>
      </c>
      <c r="D3726" t="s">
        <v>532</v>
      </c>
      <c r="E3726">
        <v>2.7019016630668879</v>
      </c>
      <c r="F3726">
        <v>3</v>
      </c>
      <c r="G3726">
        <v>1</v>
      </c>
      <c r="H3726">
        <v>9</v>
      </c>
      <c r="I3726">
        <v>146</v>
      </c>
      <c r="J3726">
        <v>2593</v>
      </c>
    </row>
    <row r="3727" spans="1:10" x14ac:dyDescent="0.25">
      <c r="A3727" t="s">
        <v>201</v>
      </c>
      <c r="B3727" t="s">
        <v>203</v>
      </c>
      <c r="C3727" t="s">
        <v>350</v>
      </c>
      <c r="D3727" t="s">
        <v>532</v>
      </c>
      <c r="E3727">
        <v>2.8880145123007761</v>
      </c>
      <c r="F3727">
        <v>3</v>
      </c>
      <c r="G3727">
        <v>1</v>
      </c>
      <c r="H3727">
        <v>7</v>
      </c>
      <c r="I3727">
        <v>104</v>
      </c>
      <c r="J3727">
        <v>2593</v>
      </c>
    </row>
    <row r="3728" spans="1:10" x14ac:dyDescent="0.25">
      <c r="A3728" t="s">
        <v>202</v>
      </c>
      <c r="B3728" t="s">
        <v>203</v>
      </c>
      <c r="C3728" t="s">
        <v>348</v>
      </c>
      <c r="D3728" t="s">
        <v>532</v>
      </c>
      <c r="E3728">
        <v>2.887462790440412</v>
      </c>
      <c r="F3728">
        <v>3</v>
      </c>
      <c r="G3728">
        <v>1</v>
      </c>
      <c r="H3728">
        <v>7</v>
      </c>
      <c r="I3728">
        <v>90</v>
      </c>
      <c r="J3728">
        <v>2593</v>
      </c>
    </row>
    <row r="3729" spans="1:10" x14ac:dyDescent="0.25">
      <c r="A3729" t="s">
        <v>204</v>
      </c>
      <c r="B3729" t="s">
        <v>204</v>
      </c>
      <c r="C3729" t="s">
        <v>204</v>
      </c>
      <c r="D3729" t="s">
        <v>204</v>
      </c>
      <c r="E3729">
        <v>2.872275691651959</v>
      </c>
      <c r="F3729">
        <v>3</v>
      </c>
      <c r="G3729">
        <v>1</v>
      </c>
      <c r="H3729">
        <v>12</v>
      </c>
      <c r="I3729">
        <v>2593</v>
      </c>
      <c r="J3729">
        <v>2593</v>
      </c>
    </row>
    <row r="3731" spans="1:10" x14ac:dyDescent="0.25">
      <c r="A3731" t="s">
        <v>911</v>
      </c>
    </row>
    <row r="3732" spans="1:10" x14ac:dyDescent="0.25">
      <c r="A3732" t="s">
        <v>189</v>
      </c>
      <c r="B3732" t="s">
        <v>190</v>
      </c>
      <c r="C3732" t="s">
        <v>191</v>
      </c>
      <c r="D3732" t="s">
        <v>192</v>
      </c>
      <c r="E3732" t="s">
        <v>193</v>
      </c>
      <c r="F3732" t="s">
        <v>194</v>
      </c>
      <c r="G3732" t="s">
        <v>195</v>
      </c>
      <c r="H3732" t="s">
        <v>196</v>
      </c>
    </row>
    <row r="3733" spans="1:10" x14ac:dyDescent="0.25">
      <c r="A3733" t="s">
        <v>197</v>
      </c>
      <c r="B3733" t="s">
        <v>198</v>
      </c>
      <c r="C3733">
        <v>23.083016031125641</v>
      </c>
      <c r="D3733">
        <v>20</v>
      </c>
      <c r="E3733">
        <v>5</v>
      </c>
      <c r="F3733">
        <v>80</v>
      </c>
      <c r="G3733">
        <v>54</v>
      </c>
      <c r="H3733">
        <v>2048</v>
      </c>
    </row>
    <row r="3734" spans="1:10" x14ac:dyDescent="0.25">
      <c r="A3734" t="s">
        <v>199</v>
      </c>
      <c r="B3734" t="s">
        <v>198</v>
      </c>
      <c r="C3734">
        <v>21.950310028399571</v>
      </c>
      <c r="D3734">
        <v>17.5</v>
      </c>
      <c r="E3734">
        <v>2.1428571428571401</v>
      </c>
      <c r="F3734">
        <v>80</v>
      </c>
      <c r="G3734">
        <v>259</v>
      </c>
      <c r="H3734">
        <v>2048</v>
      </c>
    </row>
    <row r="3735" spans="1:10" x14ac:dyDescent="0.25">
      <c r="A3735" t="s">
        <v>200</v>
      </c>
      <c r="B3735" t="s">
        <v>198</v>
      </c>
      <c r="C3735">
        <v>22.33741787961274</v>
      </c>
      <c r="D3735">
        <v>17.5</v>
      </c>
      <c r="E3735">
        <v>1.71428571428571</v>
      </c>
      <c r="F3735">
        <v>156</v>
      </c>
      <c r="G3735">
        <v>278</v>
      </c>
      <c r="H3735">
        <v>2048</v>
      </c>
    </row>
    <row r="3736" spans="1:10" x14ac:dyDescent="0.25">
      <c r="A3736" t="s">
        <v>201</v>
      </c>
      <c r="B3736" t="s">
        <v>198</v>
      </c>
      <c r="C3736">
        <v>19.17932694213712</v>
      </c>
      <c r="D3736">
        <v>16.25</v>
      </c>
      <c r="E3736">
        <v>3.3333333333333299</v>
      </c>
      <c r="F3736">
        <v>70</v>
      </c>
      <c r="G3736">
        <v>162</v>
      </c>
      <c r="H3736">
        <v>2048</v>
      </c>
    </row>
    <row r="3737" spans="1:10" x14ac:dyDescent="0.25">
      <c r="A3737" t="s">
        <v>202</v>
      </c>
      <c r="B3737" t="s">
        <v>198</v>
      </c>
      <c r="C3737">
        <v>18.99571027985602</v>
      </c>
      <c r="D3737">
        <v>16</v>
      </c>
      <c r="E3737">
        <v>6.25</v>
      </c>
      <c r="F3737">
        <v>50</v>
      </c>
      <c r="G3737">
        <v>61</v>
      </c>
      <c r="H3737">
        <v>2048</v>
      </c>
    </row>
    <row r="3738" spans="1:10" x14ac:dyDescent="0.25">
      <c r="A3738" t="s">
        <v>199</v>
      </c>
      <c r="B3738" t="s">
        <v>203</v>
      </c>
      <c r="C3738">
        <v>25.230733674568409</v>
      </c>
      <c r="D3738">
        <v>22.3333333333333</v>
      </c>
      <c r="E3738">
        <v>4.71428571428571</v>
      </c>
      <c r="F3738">
        <v>150</v>
      </c>
      <c r="G3738">
        <v>444</v>
      </c>
      <c r="H3738">
        <v>2048</v>
      </c>
    </row>
    <row r="3739" spans="1:10" x14ac:dyDescent="0.25">
      <c r="A3739" t="s">
        <v>200</v>
      </c>
      <c r="B3739" t="s">
        <v>203</v>
      </c>
      <c r="C3739">
        <v>31.215286637668409</v>
      </c>
      <c r="D3739">
        <v>22</v>
      </c>
      <c r="E3739">
        <v>3.75</v>
      </c>
      <c r="F3739">
        <v>600</v>
      </c>
      <c r="G3739">
        <v>438</v>
      </c>
      <c r="H3739">
        <v>2048</v>
      </c>
    </row>
    <row r="3740" spans="1:10" x14ac:dyDescent="0.25">
      <c r="A3740" t="s">
        <v>201</v>
      </c>
      <c r="B3740" t="s">
        <v>203</v>
      </c>
      <c r="C3740">
        <v>28.60813688817672</v>
      </c>
      <c r="D3740">
        <v>23.3333333333333</v>
      </c>
      <c r="E3740">
        <v>3</v>
      </c>
      <c r="F3740">
        <v>140</v>
      </c>
      <c r="G3740">
        <v>268</v>
      </c>
      <c r="H3740">
        <v>2048</v>
      </c>
    </row>
    <row r="3741" spans="1:10" x14ac:dyDescent="0.25">
      <c r="A3741" t="s">
        <v>202</v>
      </c>
      <c r="B3741" t="s">
        <v>203</v>
      </c>
      <c r="C3741">
        <v>29.15773954914339</v>
      </c>
      <c r="D3741">
        <v>26</v>
      </c>
      <c r="E3741">
        <v>3</v>
      </c>
      <c r="F3741">
        <v>90</v>
      </c>
      <c r="G3741">
        <v>84</v>
      </c>
      <c r="H3741">
        <v>2048</v>
      </c>
    </row>
    <row r="3742" spans="1:10" x14ac:dyDescent="0.25">
      <c r="A3742" t="s">
        <v>204</v>
      </c>
      <c r="B3742" t="s">
        <v>204</v>
      </c>
      <c r="C3742">
        <v>26.056507743551229</v>
      </c>
      <c r="D3742">
        <v>20</v>
      </c>
      <c r="E3742">
        <v>1.71428571428571</v>
      </c>
      <c r="F3742">
        <v>600</v>
      </c>
      <c r="G3742">
        <v>2048</v>
      </c>
      <c r="H3742">
        <v>2048</v>
      </c>
    </row>
    <row r="3744" spans="1:10" x14ac:dyDescent="0.25">
      <c r="A3744" t="s">
        <v>912</v>
      </c>
    </row>
    <row r="3745" spans="1:10" x14ac:dyDescent="0.25">
      <c r="A3745" t="s">
        <v>189</v>
      </c>
      <c r="B3745" t="s">
        <v>190</v>
      </c>
      <c r="C3745" t="s">
        <v>206</v>
      </c>
      <c r="D3745" t="s">
        <v>529</v>
      </c>
      <c r="E3745" t="s">
        <v>191</v>
      </c>
      <c r="F3745" t="s">
        <v>192</v>
      </c>
      <c r="G3745" t="s">
        <v>193</v>
      </c>
      <c r="H3745" t="s">
        <v>194</v>
      </c>
      <c r="I3745" t="s">
        <v>195</v>
      </c>
      <c r="J3745" t="s">
        <v>196</v>
      </c>
    </row>
    <row r="3746" spans="1:10" s="29" customFormat="1" x14ac:dyDescent="0.25">
      <c r="A3746" s="29" t="s">
        <v>197</v>
      </c>
      <c r="B3746" s="29" t="s">
        <v>198</v>
      </c>
      <c r="C3746" s="29" t="s">
        <v>228</v>
      </c>
      <c r="D3746" s="29" t="s">
        <v>530</v>
      </c>
      <c r="E3746" s="29">
        <v>26.469869402921141</v>
      </c>
      <c r="F3746" s="29">
        <v>24</v>
      </c>
      <c r="G3746" s="29">
        <v>5</v>
      </c>
      <c r="H3746" s="29">
        <v>80</v>
      </c>
      <c r="I3746" s="29">
        <v>28</v>
      </c>
      <c r="J3746" s="29">
        <v>2048</v>
      </c>
    </row>
    <row r="3747" spans="1:10" s="29" customFormat="1" x14ac:dyDescent="0.25">
      <c r="A3747" s="29" t="s">
        <v>197</v>
      </c>
      <c r="B3747" s="29" t="s">
        <v>198</v>
      </c>
      <c r="C3747" s="29" t="s">
        <v>229</v>
      </c>
      <c r="D3747" s="29" t="s">
        <v>530</v>
      </c>
      <c r="E3747" s="29">
        <v>18.973165778760379</v>
      </c>
      <c r="F3747" s="29">
        <v>18</v>
      </c>
      <c r="G3747" s="29">
        <v>7.5</v>
      </c>
      <c r="H3747" s="29">
        <v>43</v>
      </c>
      <c r="I3747" s="29">
        <v>26</v>
      </c>
      <c r="J3747" s="29">
        <v>2048</v>
      </c>
    </row>
    <row r="3748" spans="1:10" x14ac:dyDescent="0.25">
      <c r="A3748" t="s">
        <v>199</v>
      </c>
      <c r="B3748" t="s">
        <v>198</v>
      </c>
      <c r="C3748" t="s">
        <v>228</v>
      </c>
      <c r="D3748" t="s">
        <v>530</v>
      </c>
      <c r="E3748">
        <v>27.067419709657631</v>
      </c>
      <c r="F3748">
        <v>21</v>
      </c>
      <c r="G3748">
        <v>5</v>
      </c>
      <c r="H3748">
        <v>80</v>
      </c>
      <c r="I3748">
        <v>95</v>
      </c>
      <c r="J3748">
        <v>2048</v>
      </c>
    </row>
    <row r="3749" spans="1:10" x14ac:dyDescent="0.25">
      <c r="A3749" t="s">
        <v>199</v>
      </c>
      <c r="B3749" t="s">
        <v>198</v>
      </c>
      <c r="C3749" t="s">
        <v>229</v>
      </c>
      <c r="D3749" t="s">
        <v>530</v>
      </c>
      <c r="E3749">
        <v>20.161693188415619</v>
      </c>
      <c r="F3749">
        <v>17.5</v>
      </c>
      <c r="G3749">
        <v>2.1428571428571401</v>
      </c>
      <c r="H3749">
        <v>67</v>
      </c>
      <c r="I3749">
        <v>157</v>
      </c>
      <c r="J3749">
        <v>2048</v>
      </c>
    </row>
    <row r="3750" spans="1:10" x14ac:dyDescent="0.25">
      <c r="A3750" t="s">
        <v>200</v>
      </c>
      <c r="B3750" t="s">
        <v>198</v>
      </c>
      <c r="C3750" t="s">
        <v>228</v>
      </c>
      <c r="D3750" t="s">
        <v>530</v>
      </c>
      <c r="E3750">
        <v>30.528872292659319</v>
      </c>
      <c r="F3750">
        <v>22.5</v>
      </c>
      <c r="G3750">
        <v>3.5</v>
      </c>
      <c r="H3750">
        <v>156</v>
      </c>
      <c r="I3750">
        <v>76</v>
      </c>
      <c r="J3750">
        <v>2048</v>
      </c>
    </row>
    <row r="3751" spans="1:10" x14ac:dyDescent="0.25">
      <c r="A3751" t="s">
        <v>200</v>
      </c>
      <c r="B3751" t="s">
        <v>198</v>
      </c>
      <c r="C3751" t="s">
        <v>229</v>
      </c>
      <c r="D3751" t="s">
        <v>530</v>
      </c>
      <c r="E3751">
        <v>20.061841088735409</v>
      </c>
      <c r="F3751">
        <v>16.6666666666667</v>
      </c>
      <c r="G3751">
        <v>1.71428571428571</v>
      </c>
      <c r="H3751">
        <v>73</v>
      </c>
      <c r="I3751">
        <v>201</v>
      </c>
      <c r="J3751">
        <v>2048</v>
      </c>
    </row>
    <row r="3752" spans="1:10" x14ac:dyDescent="0.25">
      <c r="A3752" t="s">
        <v>201</v>
      </c>
      <c r="B3752" t="s">
        <v>198</v>
      </c>
      <c r="C3752" t="s">
        <v>228</v>
      </c>
      <c r="D3752" t="s">
        <v>530</v>
      </c>
      <c r="E3752">
        <v>23.094811755706889</v>
      </c>
      <c r="F3752">
        <v>20</v>
      </c>
      <c r="G3752">
        <v>4.1666666666666696</v>
      </c>
      <c r="H3752">
        <v>70</v>
      </c>
      <c r="I3752">
        <v>56</v>
      </c>
      <c r="J3752">
        <v>2048</v>
      </c>
    </row>
    <row r="3753" spans="1:10" x14ac:dyDescent="0.25">
      <c r="A3753" t="s">
        <v>201</v>
      </c>
      <c r="B3753" t="s">
        <v>198</v>
      </c>
      <c r="C3753" t="s">
        <v>229</v>
      </c>
      <c r="D3753" t="s">
        <v>530</v>
      </c>
      <c r="E3753">
        <v>18.26963738802332</v>
      </c>
      <c r="F3753">
        <v>16</v>
      </c>
      <c r="G3753">
        <v>3.3333333333333299</v>
      </c>
      <c r="H3753">
        <v>70</v>
      </c>
      <c r="I3753">
        <v>103</v>
      </c>
      <c r="J3753">
        <v>2048</v>
      </c>
    </row>
    <row r="3754" spans="1:10" s="29" customFormat="1" x14ac:dyDescent="0.25">
      <c r="A3754" s="29" t="s">
        <v>202</v>
      </c>
      <c r="B3754" s="29" t="s">
        <v>198</v>
      </c>
      <c r="C3754" s="29" t="s">
        <v>228</v>
      </c>
      <c r="D3754" s="29" t="s">
        <v>530</v>
      </c>
      <c r="E3754" s="29">
        <v>17.02895604028776</v>
      </c>
      <c r="F3754" s="29">
        <v>16</v>
      </c>
      <c r="G3754" s="29">
        <v>6.25</v>
      </c>
      <c r="H3754" s="29">
        <v>30</v>
      </c>
      <c r="I3754" s="29">
        <v>16</v>
      </c>
      <c r="J3754" s="29">
        <v>2048</v>
      </c>
    </row>
    <row r="3755" spans="1:10" x14ac:dyDescent="0.25">
      <c r="A3755" t="s">
        <v>202</v>
      </c>
      <c r="B3755" t="s">
        <v>198</v>
      </c>
      <c r="C3755" t="s">
        <v>229</v>
      </c>
      <c r="D3755" t="s">
        <v>530</v>
      </c>
      <c r="E3755">
        <v>19.448916533438911</v>
      </c>
      <c r="F3755">
        <v>15</v>
      </c>
      <c r="G3755">
        <v>8.5</v>
      </c>
      <c r="H3755">
        <v>50</v>
      </c>
      <c r="I3755">
        <v>45</v>
      </c>
      <c r="J3755">
        <v>2048</v>
      </c>
    </row>
    <row r="3756" spans="1:10" x14ac:dyDescent="0.25">
      <c r="A3756" t="s">
        <v>199</v>
      </c>
      <c r="B3756" t="s">
        <v>203</v>
      </c>
      <c r="C3756" t="s">
        <v>228</v>
      </c>
      <c r="D3756" t="s">
        <v>530</v>
      </c>
      <c r="E3756">
        <v>28.25066098787514</v>
      </c>
      <c r="F3756">
        <v>24.5</v>
      </c>
      <c r="G3756">
        <v>4.71428571428571</v>
      </c>
      <c r="H3756">
        <v>150</v>
      </c>
      <c r="I3756">
        <v>112</v>
      </c>
      <c r="J3756">
        <v>2048</v>
      </c>
    </row>
    <row r="3757" spans="1:10" x14ac:dyDescent="0.25">
      <c r="A3757" t="s">
        <v>199</v>
      </c>
      <c r="B3757" t="s">
        <v>203</v>
      </c>
      <c r="C3757" t="s">
        <v>229</v>
      </c>
      <c r="D3757" t="s">
        <v>530</v>
      </c>
      <c r="E3757">
        <v>24.918190242690539</v>
      </c>
      <c r="F3757">
        <v>22.3333333333333</v>
      </c>
      <c r="G3757">
        <v>6.1666666666666696</v>
      </c>
      <c r="H3757">
        <v>120</v>
      </c>
      <c r="I3757">
        <v>322</v>
      </c>
      <c r="J3757">
        <v>2048</v>
      </c>
    </row>
    <row r="3758" spans="1:10" x14ac:dyDescent="0.25">
      <c r="A3758" t="s">
        <v>200</v>
      </c>
      <c r="B3758" t="s">
        <v>203</v>
      </c>
      <c r="C3758" t="s">
        <v>228</v>
      </c>
      <c r="D3758" t="s">
        <v>530</v>
      </c>
      <c r="E3758">
        <v>40.132472306294687</v>
      </c>
      <c r="F3758">
        <v>27</v>
      </c>
      <c r="G3758">
        <v>3.75</v>
      </c>
      <c r="H3758">
        <v>600</v>
      </c>
      <c r="I3758">
        <v>140</v>
      </c>
      <c r="J3758">
        <v>2048</v>
      </c>
    </row>
    <row r="3759" spans="1:10" x14ac:dyDescent="0.25">
      <c r="A3759" t="s">
        <v>200</v>
      </c>
      <c r="B3759" t="s">
        <v>203</v>
      </c>
      <c r="C3759" t="s">
        <v>229</v>
      </c>
      <c r="D3759" t="s">
        <v>530</v>
      </c>
      <c r="E3759">
        <v>28.84934821705766</v>
      </c>
      <c r="F3759">
        <v>21</v>
      </c>
      <c r="G3759">
        <v>3.75</v>
      </c>
      <c r="H3759">
        <v>150</v>
      </c>
      <c r="I3759">
        <v>297</v>
      </c>
      <c r="J3759">
        <v>2048</v>
      </c>
    </row>
    <row r="3760" spans="1:10" x14ac:dyDescent="0.25">
      <c r="A3760" t="s">
        <v>201</v>
      </c>
      <c r="B3760" t="s">
        <v>203</v>
      </c>
      <c r="C3760" t="s">
        <v>228</v>
      </c>
      <c r="D3760" t="s">
        <v>530</v>
      </c>
      <c r="E3760">
        <v>28.170281447575551</v>
      </c>
      <c r="F3760">
        <v>24.3333333333333</v>
      </c>
      <c r="G3760">
        <v>3.75</v>
      </c>
      <c r="H3760">
        <v>140</v>
      </c>
      <c r="I3760">
        <v>137</v>
      </c>
      <c r="J3760">
        <v>2048</v>
      </c>
    </row>
    <row r="3761" spans="1:10" x14ac:dyDescent="0.25">
      <c r="A3761" t="s">
        <v>201</v>
      </c>
      <c r="B3761" t="s">
        <v>203</v>
      </c>
      <c r="C3761" t="s">
        <v>229</v>
      </c>
      <c r="D3761" t="s">
        <v>530</v>
      </c>
      <c r="E3761">
        <v>28.698383287334501</v>
      </c>
      <c r="F3761">
        <v>23.3333333333333</v>
      </c>
      <c r="G3761">
        <v>3</v>
      </c>
      <c r="H3761">
        <v>120</v>
      </c>
      <c r="I3761">
        <v>125</v>
      </c>
      <c r="J3761">
        <v>2048</v>
      </c>
    </row>
    <row r="3762" spans="1:10" x14ac:dyDescent="0.25">
      <c r="A3762" t="s">
        <v>202</v>
      </c>
      <c r="B3762" t="s">
        <v>203</v>
      </c>
      <c r="C3762" t="s">
        <v>228</v>
      </c>
      <c r="D3762" t="s">
        <v>530</v>
      </c>
      <c r="E3762">
        <v>39.66731749079122</v>
      </c>
      <c r="F3762">
        <v>33.3333333333333</v>
      </c>
      <c r="G3762">
        <v>8.6</v>
      </c>
      <c r="H3762">
        <v>90</v>
      </c>
      <c r="I3762">
        <v>31</v>
      </c>
      <c r="J3762">
        <v>2048</v>
      </c>
    </row>
    <row r="3763" spans="1:10" x14ac:dyDescent="0.25">
      <c r="A3763" t="s">
        <v>202</v>
      </c>
      <c r="B3763" t="s">
        <v>203</v>
      </c>
      <c r="C3763" t="s">
        <v>229</v>
      </c>
      <c r="D3763" t="s">
        <v>530</v>
      </c>
      <c r="E3763">
        <v>24.964811086181449</v>
      </c>
      <c r="F3763">
        <v>23.3333333333333</v>
      </c>
      <c r="G3763">
        <v>3</v>
      </c>
      <c r="H3763">
        <v>78</v>
      </c>
      <c r="I3763">
        <v>53</v>
      </c>
      <c r="J3763">
        <v>2048</v>
      </c>
    </row>
    <row r="3764" spans="1:10" x14ac:dyDescent="0.25">
      <c r="A3764" t="s">
        <v>204</v>
      </c>
      <c r="B3764" t="s">
        <v>204</v>
      </c>
      <c r="C3764" t="s">
        <v>204</v>
      </c>
      <c r="D3764" t="s">
        <v>204</v>
      </c>
      <c r="E3764">
        <v>26.056507743551229</v>
      </c>
      <c r="F3764">
        <v>20</v>
      </c>
      <c r="G3764">
        <v>1.71428571428571</v>
      </c>
      <c r="H3764">
        <v>600</v>
      </c>
      <c r="I3764">
        <v>2048</v>
      </c>
      <c r="J3764">
        <v>2048</v>
      </c>
    </row>
    <row r="3766" spans="1:10" x14ac:dyDescent="0.25">
      <c r="A3766" t="s">
        <v>913</v>
      </c>
    </row>
    <row r="3767" spans="1:10" x14ac:dyDescent="0.25">
      <c r="A3767" t="s">
        <v>189</v>
      </c>
      <c r="B3767" t="s">
        <v>190</v>
      </c>
      <c r="C3767" t="s">
        <v>206</v>
      </c>
      <c r="D3767" t="s">
        <v>529</v>
      </c>
      <c r="E3767" t="s">
        <v>191</v>
      </c>
      <c r="F3767" t="s">
        <v>192</v>
      </c>
      <c r="G3767" t="s">
        <v>193</v>
      </c>
      <c r="H3767" t="s">
        <v>194</v>
      </c>
      <c r="I3767" t="s">
        <v>195</v>
      </c>
      <c r="J3767" t="s">
        <v>196</v>
      </c>
    </row>
    <row r="3768" spans="1:10" x14ac:dyDescent="0.25">
      <c r="A3768" t="s">
        <v>197</v>
      </c>
      <c r="B3768" t="s">
        <v>198</v>
      </c>
      <c r="C3768" t="s">
        <v>348</v>
      </c>
      <c r="D3768" t="s">
        <v>532</v>
      </c>
      <c r="E3768">
        <v>23.052660359340621</v>
      </c>
      <c r="F3768">
        <v>20</v>
      </c>
      <c r="G3768">
        <v>5</v>
      </c>
      <c r="H3768">
        <v>80</v>
      </c>
      <c r="I3768">
        <v>52</v>
      </c>
      <c r="J3768">
        <v>2048</v>
      </c>
    </row>
    <row r="3769" spans="1:10" s="29" customFormat="1" x14ac:dyDescent="0.25">
      <c r="A3769" s="29" t="s">
        <v>197</v>
      </c>
      <c r="B3769" s="29" t="s">
        <v>198</v>
      </c>
      <c r="C3769" s="29" t="s">
        <v>349</v>
      </c>
      <c r="D3769" s="29" t="s">
        <v>532</v>
      </c>
      <c r="E3769" s="29">
        <v>24</v>
      </c>
      <c r="F3769" s="29">
        <v>8</v>
      </c>
      <c r="G3769" s="29">
        <v>8</v>
      </c>
      <c r="H3769" s="29">
        <v>40</v>
      </c>
      <c r="I3769" s="29">
        <v>2</v>
      </c>
      <c r="J3769" s="29">
        <v>2048</v>
      </c>
    </row>
    <row r="3770" spans="1:10" x14ac:dyDescent="0.25">
      <c r="A3770" t="s">
        <v>199</v>
      </c>
      <c r="B3770" t="s">
        <v>198</v>
      </c>
      <c r="C3770" t="s">
        <v>348</v>
      </c>
      <c r="D3770" t="s">
        <v>532</v>
      </c>
      <c r="E3770">
        <v>27.646334480812371</v>
      </c>
      <c r="F3770">
        <v>23</v>
      </c>
      <c r="G3770">
        <v>8.3333333333333304</v>
      </c>
      <c r="H3770">
        <v>75</v>
      </c>
      <c r="I3770">
        <v>36</v>
      </c>
      <c r="J3770">
        <v>2048</v>
      </c>
    </row>
    <row r="3771" spans="1:10" x14ac:dyDescent="0.25">
      <c r="A3771" t="s">
        <v>199</v>
      </c>
      <c r="B3771" t="s">
        <v>198</v>
      </c>
      <c r="C3771" t="s">
        <v>349</v>
      </c>
      <c r="D3771" t="s">
        <v>532</v>
      </c>
      <c r="E3771">
        <v>23.45531893196145</v>
      </c>
      <c r="F3771">
        <v>16</v>
      </c>
      <c r="G3771">
        <v>7.8</v>
      </c>
      <c r="H3771">
        <v>80</v>
      </c>
      <c r="I3771">
        <v>75</v>
      </c>
      <c r="J3771">
        <v>2048</v>
      </c>
    </row>
    <row r="3772" spans="1:10" x14ac:dyDescent="0.25">
      <c r="A3772" t="s">
        <v>199</v>
      </c>
      <c r="B3772" t="s">
        <v>198</v>
      </c>
      <c r="C3772" t="s">
        <v>350</v>
      </c>
      <c r="D3772" t="s">
        <v>532</v>
      </c>
      <c r="E3772">
        <v>18.75525126459636</v>
      </c>
      <c r="F3772">
        <v>16.6666666666667</v>
      </c>
      <c r="G3772">
        <v>2.1428571428571401</v>
      </c>
      <c r="H3772">
        <v>62.5</v>
      </c>
      <c r="I3772">
        <v>141</v>
      </c>
      <c r="J3772">
        <v>2048</v>
      </c>
    </row>
    <row r="3773" spans="1:10" x14ac:dyDescent="0.25">
      <c r="A3773" t="s">
        <v>200</v>
      </c>
      <c r="B3773" t="s">
        <v>198</v>
      </c>
      <c r="C3773" t="s">
        <v>348</v>
      </c>
      <c r="D3773" t="s">
        <v>532</v>
      </c>
      <c r="E3773">
        <v>22.018430811165739</v>
      </c>
      <c r="F3773">
        <v>17</v>
      </c>
      <c r="G3773">
        <v>1.71428571428571</v>
      </c>
      <c r="H3773">
        <v>156</v>
      </c>
      <c r="I3773">
        <v>180</v>
      </c>
      <c r="J3773">
        <v>2048</v>
      </c>
    </row>
    <row r="3774" spans="1:10" x14ac:dyDescent="0.25">
      <c r="A3774" t="s">
        <v>200</v>
      </c>
      <c r="B3774" t="s">
        <v>198</v>
      </c>
      <c r="C3774" t="s">
        <v>349</v>
      </c>
      <c r="D3774" t="s">
        <v>532</v>
      </c>
      <c r="E3774">
        <v>28.46490756682218</v>
      </c>
      <c r="F3774">
        <v>20</v>
      </c>
      <c r="G3774">
        <v>3.5</v>
      </c>
      <c r="H3774">
        <v>80</v>
      </c>
      <c r="I3774">
        <v>44</v>
      </c>
      <c r="J3774">
        <v>2048</v>
      </c>
    </row>
    <row r="3775" spans="1:10" x14ac:dyDescent="0.25">
      <c r="A3775" t="s">
        <v>200</v>
      </c>
      <c r="B3775" t="s">
        <v>198</v>
      </c>
      <c r="C3775" t="s">
        <v>350</v>
      </c>
      <c r="D3775" t="s">
        <v>532</v>
      </c>
      <c r="E3775">
        <v>21.74908736824797</v>
      </c>
      <c r="F3775">
        <v>20</v>
      </c>
      <c r="G3775">
        <v>6.3333333333333304</v>
      </c>
      <c r="H3775">
        <v>73</v>
      </c>
      <c r="I3775">
        <v>53</v>
      </c>
      <c r="J3775">
        <v>2048</v>
      </c>
    </row>
    <row r="3776" spans="1:10" x14ac:dyDescent="0.25">
      <c r="A3776" t="s">
        <v>201</v>
      </c>
      <c r="B3776" t="s">
        <v>198</v>
      </c>
      <c r="C3776" t="s">
        <v>348</v>
      </c>
      <c r="D3776" t="s">
        <v>532</v>
      </c>
      <c r="E3776">
        <v>20.892347646349862</v>
      </c>
      <c r="F3776">
        <v>20</v>
      </c>
      <c r="G3776">
        <v>4.1666666666666696</v>
      </c>
      <c r="H3776">
        <v>68</v>
      </c>
      <c r="I3776">
        <v>38</v>
      </c>
      <c r="J3776">
        <v>2048</v>
      </c>
    </row>
    <row r="3777" spans="1:10" x14ac:dyDescent="0.25">
      <c r="A3777" t="s">
        <v>201</v>
      </c>
      <c r="B3777" t="s">
        <v>198</v>
      </c>
      <c r="C3777" t="s">
        <v>349</v>
      </c>
      <c r="D3777" t="s">
        <v>532</v>
      </c>
      <c r="E3777">
        <v>18.317260104039459</v>
      </c>
      <c r="F3777">
        <v>16</v>
      </c>
      <c r="G3777">
        <v>3.3333333333333299</v>
      </c>
      <c r="H3777">
        <v>70</v>
      </c>
      <c r="I3777">
        <v>86</v>
      </c>
      <c r="J3777">
        <v>2048</v>
      </c>
    </row>
    <row r="3778" spans="1:10" x14ac:dyDescent="0.25">
      <c r="A3778" t="s">
        <v>201</v>
      </c>
      <c r="B3778" t="s">
        <v>198</v>
      </c>
      <c r="C3778" t="s">
        <v>350</v>
      </c>
      <c r="D3778" t="s">
        <v>532</v>
      </c>
      <c r="E3778">
        <v>26.720355797011901</v>
      </c>
      <c r="F3778">
        <v>21</v>
      </c>
      <c r="G3778">
        <v>8</v>
      </c>
      <c r="H3778">
        <v>66</v>
      </c>
      <c r="I3778">
        <v>35</v>
      </c>
      <c r="J3778">
        <v>2048</v>
      </c>
    </row>
    <row r="3779" spans="1:10" x14ac:dyDescent="0.25">
      <c r="A3779" t="s">
        <v>202</v>
      </c>
      <c r="B3779" t="s">
        <v>198</v>
      </c>
      <c r="C3779" t="s">
        <v>348</v>
      </c>
      <c r="D3779" t="s">
        <v>532</v>
      </c>
      <c r="E3779">
        <v>18.99571027985602</v>
      </c>
      <c r="F3779">
        <v>16</v>
      </c>
      <c r="G3779">
        <v>6.25</v>
      </c>
      <c r="H3779">
        <v>50</v>
      </c>
      <c r="I3779">
        <v>61</v>
      </c>
      <c r="J3779">
        <v>2048</v>
      </c>
    </row>
    <row r="3780" spans="1:10" x14ac:dyDescent="0.25">
      <c r="A3780" t="s">
        <v>199</v>
      </c>
      <c r="B3780" t="s">
        <v>203</v>
      </c>
      <c r="C3780" t="s">
        <v>348</v>
      </c>
      <c r="D3780" t="s">
        <v>532</v>
      </c>
      <c r="E3780">
        <v>23.59647522657961</v>
      </c>
      <c r="F3780">
        <v>16.6666666666667</v>
      </c>
      <c r="G3780">
        <v>8</v>
      </c>
      <c r="H3780">
        <v>100</v>
      </c>
      <c r="I3780">
        <v>34</v>
      </c>
      <c r="J3780">
        <v>2048</v>
      </c>
    </row>
    <row r="3781" spans="1:10" x14ac:dyDescent="0.25">
      <c r="A3781" t="s">
        <v>199</v>
      </c>
      <c r="B3781" t="s">
        <v>203</v>
      </c>
      <c r="C3781" t="s">
        <v>349</v>
      </c>
      <c r="D3781" t="s">
        <v>532</v>
      </c>
      <c r="E3781">
        <v>26.163156311583279</v>
      </c>
      <c r="F3781">
        <v>22.5</v>
      </c>
      <c r="G3781">
        <v>4.71428571428571</v>
      </c>
      <c r="H3781">
        <v>120</v>
      </c>
      <c r="I3781">
        <v>145</v>
      </c>
      <c r="J3781">
        <v>2048</v>
      </c>
    </row>
    <row r="3782" spans="1:10" x14ac:dyDescent="0.25">
      <c r="A3782" t="s">
        <v>199</v>
      </c>
      <c r="B3782" t="s">
        <v>203</v>
      </c>
      <c r="C3782" t="s">
        <v>350</v>
      </c>
      <c r="D3782" t="s">
        <v>532</v>
      </c>
      <c r="E3782">
        <v>24.910384769642619</v>
      </c>
      <c r="F3782">
        <v>21</v>
      </c>
      <c r="G3782">
        <v>6.1666666666666696</v>
      </c>
      <c r="H3782">
        <v>150</v>
      </c>
      <c r="I3782">
        <v>255</v>
      </c>
      <c r="J3782">
        <v>2048</v>
      </c>
    </row>
    <row r="3783" spans="1:10" x14ac:dyDescent="0.25">
      <c r="A3783" t="s">
        <v>200</v>
      </c>
      <c r="B3783" t="s">
        <v>203</v>
      </c>
      <c r="C3783" t="s">
        <v>348</v>
      </c>
      <c r="D3783" t="s">
        <v>532</v>
      </c>
      <c r="E3783">
        <v>32.058146286815663</v>
      </c>
      <c r="F3783">
        <v>22</v>
      </c>
      <c r="G3783">
        <v>3.75</v>
      </c>
      <c r="H3783">
        <v>600</v>
      </c>
      <c r="I3783">
        <v>253</v>
      </c>
      <c r="J3783">
        <v>2048</v>
      </c>
    </row>
    <row r="3784" spans="1:10" x14ac:dyDescent="0.25">
      <c r="A3784" t="s">
        <v>200</v>
      </c>
      <c r="B3784" t="s">
        <v>203</v>
      </c>
      <c r="C3784" t="s">
        <v>349</v>
      </c>
      <c r="D3784" t="s">
        <v>532</v>
      </c>
      <c r="E3784">
        <v>26.123061115034641</v>
      </c>
      <c r="F3784">
        <v>23.3333333333333</v>
      </c>
      <c r="G3784">
        <v>5.3333333333333304</v>
      </c>
      <c r="H3784">
        <v>74</v>
      </c>
      <c r="I3784">
        <v>99</v>
      </c>
      <c r="J3784">
        <v>2048</v>
      </c>
    </row>
    <row r="3785" spans="1:10" x14ac:dyDescent="0.25">
      <c r="A3785" t="s">
        <v>200</v>
      </c>
      <c r="B3785" t="s">
        <v>203</v>
      </c>
      <c r="C3785" t="s">
        <v>350</v>
      </c>
      <c r="D3785" t="s">
        <v>532</v>
      </c>
      <c r="E3785">
        <v>22.227402112909761</v>
      </c>
      <c r="F3785">
        <v>20</v>
      </c>
      <c r="G3785">
        <v>5.5</v>
      </c>
      <c r="H3785">
        <v>81</v>
      </c>
      <c r="I3785">
        <v>85</v>
      </c>
      <c r="J3785">
        <v>2048</v>
      </c>
    </row>
    <row r="3786" spans="1:10" x14ac:dyDescent="0.25">
      <c r="A3786" t="s">
        <v>201</v>
      </c>
      <c r="B3786" t="s">
        <v>203</v>
      </c>
      <c r="C3786" t="s">
        <v>348</v>
      </c>
      <c r="D3786" t="s">
        <v>532</v>
      </c>
      <c r="E3786">
        <v>35.557068464663537</v>
      </c>
      <c r="F3786">
        <v>36</v>
      </c>
      <c r="G3786">
        <v>6.6666666666666696</v>
      </c>
      <c r="H3786">
        <v>120</v>
      </c>
      <c r="I3786">
        <v>51</v>
      </c>
      <c r="J3786">
        <v>2048</v>
      </c>
    </row>
    <row r="3787" spans="1:10" x14ac:dyDescent="0.25">
      <c r="A3787" t="s">
        <v>201</v>
      </c>
      <c r="B3787" t="s">
        <v>203</v>
      </c>
      <c r="C3787" t="s">
        <v>349</v>
      </c>
      <c r="D3787" t="s">
        <v>532</v>
      </c>
      <c r="E3787">
        <v>27.527656358175321</v>
      </c>
      <c r="F3787">
        <v>23.3333333333333</v>
      </c>
      <c r="G3787">
        <v>3.75</v>
      </c>
      <c r="H3787">
        <v>140</v>
      </c>
      <c r="I3787">
        <v>126</v>
      </c>
      <c r="J3787">
        <v>2048</v>
      </c>
    </row>
    <row r="3788" spans="1:10" x14ac:dyDescent="0.25">
      <c r="A3788" t="s">
        <v>201</v>
      </c>
      <c r="B3788" t="s">
        <v>203</v>
      </c>
      <c r="C3788" t="s">
        <v>350</v>
      </c>
      <c r="D3788" t="s">
        <v>532</v>
      </c>
      <c r="E3788">
        <v>29.208080097970171</v>
      </c>
      <c r="F3788">
        <v>25</v>
      </c>
      <c r="G3788">
        <v>3</v>
      </c>
      <c r="H3788">
        <v>110</v>
      </c>
      <c r="I3788">
        <v>85</v>
      </c>
      <c r="J3788">
        <v>2048</v>
      </c>
    </row>
    <row r="3789" spans="1:10" x14ac:dyDescent="0.25">
      <c r="A3789" t="s">
        <v>202</v>
      </c>
      <c r="B3789" t="s">
        <v>203</v>
      </c>
      <c r="C3789" t="s">
        <v>348</v>
      </c>
      <c r="D3789" t="s">
        <v>532</v>
      </c>
      <c r="E3789">
        <v>29.15773954914339</v>
      </c>
      <c r="F3789">
        <v>26</v>
      </c>
      <c r="G3789">
        <v>3</v>
      </c>
      <c r="H3789">
        <v>90</v>
      </c>
      <c r="I3789">
        <v>84</v>
      </c>
      <c r="J3789">
        <v>2048</v>
      </c>
    </row>
    <row r="3790" spans="1:10" x14ac:dyDescent="0.25">
      <c r="A3790" t="s">
        <v>204</v>
      </c>
      <c r="B3790" t="s">
        <v>204</v>
      </c>
      <c r="C3790" t="s">
        <v>204</v>
      </c>
      <c r="D3790" t="s">
        <v>204</v>
      </c>
      <c r="E3790">
        <v>26.056507743551229</v>
      </c>
      <c r="F3790">
        <v>20</v>
      </c>
      <c r="G3790">
        <v>1.71428571428571</v>
      </c>
      <c r="H3790">
        <v>600</v>
      </c>
      <c r="I3790">
        <v>2048</v>
      </c>
      <c r="J3790">
        <v>2048</v>
      </c>
    </row>
    <row r="3792" spans="1:10" x14ac:dyDescent="0.25">
      <c r="A3792" t="s">
        <v>914</v>
      </c>
    </row>
    <row r="3793" spans="1:11" x14ac:dyDescent="0.25">
      <c r="A3793" t="s">
        <v>190</v>
      </c>
      <c r="B3793" t="s">
        <v>195</v>
      </c>
      <c r="C3793" t="s">
        <v>189</v>
      </c>
      <c r="D3793" t="s">
        <v>196</v>
      </c>
      <c r="E3793" t="s">
        <v>220</v>
      </c>
      <c r="F3793" t="s">
        <v>915</v>
      </c>
      <c r="G3793" t="s">
        <v>916</v>
      </c>
      <c r="H3793" t="s">
        <v>917</v>
      </c>
      <c r="I3793" t="s">
        <v>215</v>
      </c>
      <c r="J3793" t="s">
        <v>918</v>
      </c>
    </row>
    <row r="3794" spans="1:11" x14ac:dyDescent="0.25">
      <c r="A3794" t="s">
        <v>198</v>
      </c>
      <c r="B3794">
        <v>72</v>
      </c>
      <c r="C3794" t="s">
        <v>197</v>
      </c>
      <c r="D3794">
        <v>2601</v>
      </c>
      <c r="F3794" s="1">
        <v>0.25700000000000001</v>
      </c>
      <c r="H3794" s="1">
        <v>0.22109999999999999</v>
      </c>
      <c r="J3794" s="1">
        <v>0.52190000000000003</v>
      </c>
    </row>
    <row r="3795" spans="1:11" x14ac:dyDescent="0.25">
      <c r="A3795" t="s">
        <v>198</v>
      </c>
      <c r="B3795">
        <v>361</v>
      </c>
      <c r="C3795" t="s">
        <v>199</v>
      </c>
      <c r="D3795">
        <v>2601</v>
      </c>
      <c r="E3795" s="1">
        <v>5.0000000000000001E-4</v>
      </c>
      <c r="F3795" s="1">
        <v>0.15970000000000001</v>
      </c>
      <c r="G3795" s="1">
        <v>2.9999999999999997E-4</v>
      </c>
      <c r="H3795" s="1">
        <v>0.1159</v>
      </c>
      <c r="I3795" s="1">
        <v>1.1999999999999999E-3</v>
      </c>
      <c r="J3795" s="1">
        <v>0.72230000000000005</v>
      </c>
    </row>
    <row r="3796" spans="1:11" x14ac:dyDescent="0.25">
      <c r="A3796" t="s">
        <v>198</v>
      </c>
      <c r="B3796">
        <v>385</v>
      </c>
      <c r="C3796" t="s">
        <v>200</v>
      </c>
      <c r="D3796">
        <v>2601</v>
      </c>
      <c r="F3796" s="1">
        <v>0.20730000000000001</v>
      </c>
      <c r="G3796" s="1">
        <v>1.0200000000000001E-2</v>
      </c>
      <c r="H3796" s="1">
        <v>0.13370000000000001</v>
      </c>
      <c r="J3796" s="1">
        <v>0.64880000000000004</v>
      </c>
    </row>
    <row r="3797" spans="1:11" x14ac:dyDescent="0.25">
      <c r="A3797" t="s">
        <v>198</v>
      </c>
      <c r="B3797">
        <v>253</v>
      </c>
      <c r="C3797" t="s">
        <v>201</v>
      </c>
      <c r="D3797">
        <v>2601</v>
      </c>
      <c r="E3797" s="1">
        <v>4.8999999999999998E-3</v>
      </c>
      <c r="F3797" s="1">
        <v>0.158</v>
      </c>
      <c r="G3797" s="1">
        <v>1.0800000000000001E-2</v>
      </c>
      <c r="H3797" s="1">
        <v>0.1191</v>
      </c>
      <c r="J3797" s="1">
        <v>0.70730000000000004</v>
      </c>
    </row>
    <row r="3798" spans="1:11" x14ac:dyDescent="0.25">
      <c r="A3798" t="s">
        <v>198</v>
      </c>
      <c r="B3798">
        <v>88</v>
      </c>
      <c r="C3798" t="s">
        <v>202</v>
      </c>
      <c r="D3798">
        <v>2601</v>
      </c>
      <c r="F3798" s="1">
        <v>0.17219999999999999</v>
      </c>
      <c r="H3798" s="1">
        <v>7.3400000000000007E-2</v>
      </c>
      <c r="J3798" s="1">
        <v>0.75429999999999997</v>
      </c>
    </row>
    <row r="3799" spans="1:11" x14ac:dyDescent="0.25">
      <c r="A3799" t="s">
        <v>203</v>
      </c>
      <c r="B3799">
        <v>528</v>
      </c>
      <c r="C3799" t="s">
        <v>199</v>
      </c>
      <c r="D3799">
        <v>2601</v>
      </c>
      <c r="E3799" s="1">
        <v>8.9999999999999998E-4</v>
      </c>
      <c r="F3799" s="1">
        <v>3.5400000000000001E-2</v>
      </c>
      <c r="H3799" s="1">
        <v>0.86</v>
      </c>
      <c r="I3799" s="1">
        <v>5.9999999999999995E-4</v>
      </c>
      <c r="J3799" s="1">
        <v>0.1031</v>
      </c>
    </row>
    <row r="3800" spans="1:11" x14ac:dyDescent="0.25">
      <c r="A3800" t="s">
        <v>203</v>
      </c>
      <c r="B3800">
        <v>503</v>
      </c>
      <c r="C3800" t="s">
        <v>200</v>
      </c>
      <c r="D3800">
        <v>2601</v>
      </c>
      <c r="F3800" s="1">
        <v>2.47E-2</v>
      </c>
      <c r="G3800" s="1">
        <v>5.0000000000000001E-4</v>
      </c>
      <c r="H3800" s="1">
        <v>0.80679999999999996</v>
      </c>
      <c r="J3800" s="1">
        <v>0.16800000000000001</v>
      </c>
    </row>
    <row r="3801" spans="1:11" x14ac:dyDescent="0.25">
      <c r="A3801" t="s">
        <v>203</v>
      </c>
      <c r="B3801">
        <v>321</v>
      </c>
      <c r="C3801" t="s">
        <v>201</v>
      </c>
      <c r="D3801">
        <v>2601</v>
      </c>
      <c r="F3801" s="1">
        <v>2.7799999999999998E-2</v>
      </c>
      <c r="H3801" s="1">
        <v>0.90280000000000005</v>
      </c>
      <c r="J3801" s="1">
        <v>6.9400000000000003E-2</v>
      </c>
    </row>
    <row r="3802" spans="1:11" x14ac:dyDescent="0.25">
      <c r="A3802" t="s">
        <v>203</v>
      </c>
      <c r="B3802">
        <v>90</v>
      </c>
      <c r="C3802" t="s">
        <v>202</v>
      </c>
      <c r="D3802">
        <v>2601</v>
      </c>
      <c r="E3802" s="1">
        <v>4.8999999999999998E-3</v>
      </c>
      <c r="H3802" s="1">
        <v>0.83099999999999996</v>
      </c>
      <c r="J3802" s="1">
        <v>0.16400000000000001</v>
      </c>
    </row>
    <row r="3803" spans="1:11" x14ac:dyDescent="0.25">
      <c r="A3803" t="s">
        <v>204</v>
      </c>
      <c r="B3803">
        <v>2601</v>
      </c>
      <c r="C3803" t="s">
        <v>204</v>
      </c>
      <c r="D3803">
        <v>2601</v>
      </c>
      <c r="E3803" s="1">
        <v>6.9999999999999999E-4</v>
      </c>
      <c r="F3803" s="1">
        <v>9.8500000000000004E-2</v>
      </c>
      <c r="G3803" s="1">
        <v>2E-3</v>
      </c>
      <c r="H3803" s="1">
        <v>0.51439999999999997</v>
      </c>
      <c r="I3803" s="1">
        <v>2.0000000000000001E-4</v>
      </c>
      <c r="J3803" s="1">
        <v>0.38419999999999999</v>
      </c>
    </row>
    <row r="3805" spans="1:11" x14ac:dyDescent="0.25">
      <c r="A3805" t="s">
        <v>919</v>
      </c>
    </row>
    <row r="3806" spans="1:11" x14ac:dyDescent="0.25">
      <c r="A3806" t="s">
        <v>190</v>
      </c>
      <c r="B3806" t="s">
        <v>206</v>
      </c>
      <c r="C3806" t="s">
        <v>195</v>
      </c>
      <c r="D3806" t="s">
        <v>189</v>
      </c>
      <c r="E3806" t="s">
        <v>196</v>
      </c>
      <c r="F3806" t="s">
        <v>220</v>
      </c>
      <c r="G3806" t="s">
        <v>915</v>
      </c>
      <c r="H3806" t="s">
        <v>916</v>
      </c>
      <c r="I3806" t="s">
        <v>917</v>
      </c>
      <c r="J3806" t="s">
        <v>215</v>
      </c>
      <c r="K3806" t="s">
        <v>918</v>
      </c>
    </row>
    <row r="3807" spans="1:11" x14ac:dyDescent="0.25">
      <c r="A3807" t="s">
        <v>198</v>
      </c>
      <c r="B3807" t="s">
        <v>228</v>
      </c>
      <c r="C3807">
        <v>31</v>
      </c>
      <c r="D3807" t="s">
        <v>197</v>
      </c>
      <c r="E3807">
        <v>2601</v>
      </c>
      <c r="G3807" s="1">
        <v>0.3957</v>
      </c>
      <c r="I3807" s="1">
        <v>0.41949999999999998</v>
      </c>
      <c r="K3807" s="1">
        <v>0.18479999999999999</v>
      </c>
    </row>
    <row r="3808" spans="1:11" x14ac:dyDescent="0.25">
      <c r="A3808" t="s">
        <v>198</v>
      </c>
      <c r="B3808" t="s">
        <v>229</v>
      </c>
      <c r="C3808">
        <v>41</v>
      </c>
      <c r="D3808" t="s">
        <v>197</v>
      </c>
      <c r="E3808">
        <v>2601</v>
      </c>
      <c r="G3808" s="1">
        <v>0.13569999999999999</v>
      </c>
      <c r="I3808" s="1">
        <v>4.7500000000000001E-2</v>
      </c>
      <c r="K3808" s="1">
        <v>0.81679999999999997</v>
      </c>
    </row>
    <row r="3809" spans="1:11" x14ac:dyDescent="0.25">
      <c r="A3809" t="s">
        <v>198</v>
      </c>
      <c r="B3809" t="s">
        <v>228</v>
      </c>
      <c r="C3809">
        <v>143</v>
      </c>
      <c r="D3809" t="s">
        <v>199</v>
      </c>
      <c r="E3809">
        <v>2601</v>
      </c>
      <c r="G3809" s="1">
        <v>0.3306</v>
      </c>
      <c r="H3809" s="1">
        <v>1.1999999999999999E-3</v>
      </c>
      <c r="I3809" s="1">
        <v>0.3251</v>
      </c>
      <c r="K3809" s="1">
        <v>0.34310000000000002</v>
      </c>
    </row>
    <row r="3810" spans="1:11" x14ac:dyDescent="0.25">
      <c r="A3810" t="s">
        <v>198</v>
      </c>
      <c r="B3810" t="s">
        <v>229</v>
      </c>
      <c r="C3810">
        <v>208</v>
      </c>
      <c r="D3810" t="s">
        <v>199</v>
      </c>
      <c r="E3810">
        <v>2601</v>
      </c>
      <c r="F3810" s="1">
        <v>6.9999999999999999E-4</v>
      </c>
      <c r="G3810" s="1">
        <v>9.8900000000000002E-2</v>
      </c>
      <c r="I3810" s="1">
        <v>4.1500000000000002E-2</v>
      </c>
      <c r="J3810" s="1">
        <v>1.6000000000000001E-3</v>
      </c>
      <c r="K3810" s="1">
        <v>0.85729999999999995</v>
      </c>
    </row>
    <row r="3811" spans="1:11" x14ac:dyDescent="0.25">
      <c r="A3811" t="s">
        <v>198</v>
      </c>
      <c r="B3811" t="s">
        <v>229</v>
      </c>
      <c r="C3811">
        <v>269</v>
      </c>
      <c r="D3811" t="s">
        <v>200</v>
      </c>
      <c r="E3811">
        <v>2601</v>
      </c>
      <c r="G3811" s="1">
        <v>0.16700000000000001</v>
      </c>
      <c r="H3811" s="1">
        <v>6.0000000000000001E-3</v>
      </c>
      <c r="I3811" s="1">
        <v>8.6900000000000005E-2</v>
      </c>
      <c r="K3811" s="1">
        <v>0.74009999999999998</v>
      </c>
    </row>
    <row r="3812" spans="1:11" x14ac:dyDescent="0.25">
      <c r="A3812" t="s">
        <v>198</v>
      </c>
      <c r="B3812" t="s">
        <v>228</v>
      </c>
      <c r="C3812">
        <v>111</v>
      </c>
      <c r="D3812" t="s">
        <v>200</v>
      </c>
      <c r="E3812">
        <v>2601</v>
      </c>
      <c r="G3812" s="1">
        <v>0.34639999999999999</v>
      </c>
      <c r="H3812" s="1">
        <v>2.41E-2</v>
      </c>
      <c r="I3812" s="1">
        <v>0.27189999999999998</v>
      </c>
      <c r="K3812" s="1">
        <v>0.35749999999999998</v>
      </c>
    </row>
    <row r="3813" spans="1:11" x14ac:dyDescent="0.25">
      <c r="A3813" t="s">
        <v>198</v>
      </c>
      <c r="B3813" t="s">
        <v>228</v>
      </c>
      <c r="C3813">
        <v>94</v>
      </c>
      <c r="D3813" t="s">
        <v>201</v>
      </c>
      <c r="E3813">
        <v>2601</v>
      </c>
      <c r="G3813" s="1">
        <v>0.3</v>
      </c>
      <c r="H3813" s="1">
        <v>5.0299999999999997E-2</v>
      </c>
      <c r="I3813" s="1">
        <v>0.22120000000000001</v>
      </c>
      <c r="K3813" s="1">
        <v>0.42849999999999999</v>
      </c>
    </row>
    <row r="3814" spans="1:11" x14ac:dyDescent="0.25">
      <c r="A3814" t="s">
        <v>198</v>
      </c>
      <c r="B3814" t="s">
        <v>229</v>
      </c>
      <c r="C3814">
        <v>153</v>
      </c>
      <c r="D3814" t="s">
        <v>201</v>
      </c>
      <c r="E3814">
        <v>2601</v>
      </c>
      <c r="F3814" s="1">
        <v>5.8999999999999999E-3</v>
      </c>
      <c r="G3814" s="1">
        <v>0.12</v>
      </c>
      <c r="I3814" s="1">
        <v>9.1600000000000001E-2</v>
      </c>
      <c r="K3814" s="1">
        <v>0.78259999999999996</v>
      </c>
    </row>
    <row r="3815" spans="1:11" s="29" customFormat="1" x14ac:dyDescent="0.25">
      <c r="A3815" s="29" t="s">
        <v>198</v>
      </c>
      <c r="B3815" s="29" t="s">
        <v>228</v>
      </c>
      <c r="C3815" s="29">
        <v>23</v>
      </c>
      <c r="D3815" s="29" t="s">
        <v>202</v>
      </c>
      <c r="E3815" s="29">
        <v>2601</v>
      </c>
      <c r="G3815" s="30">
        <v>0.3674</v>
      </c>
      <c r="I3815" s="30">
        <v>4.6699999999999998E-2</v>
      </c>
      <c r="K3815" s="30">
        <v>0.58589999999999998</v>
      </c>
    </row>
    <row r="3816" spans="1:11" x14ac:dyDescent="0.25">
      <c r="A3816" t="s">
        <v>198</v>
      </c>
      <c r="B3816" t="s">
        <v>229</v>
      </c>
      <c r="C3816">
        <v>65</v>
      </c>
      <c r="D3816" t="s">
        <v>202</v>
      </c>
      <c r="E3816">
        <v>2601</v>
      </c>
      <c r="G3816" s="1">
        <v>0.11940000000000001</v>
      </c>
      <c r="I3816" s="1">
        <v>8.0699999999999994E-2</v>
      </c>
      <c r="K3816" s="1">
        <v>0.8</v>
      </c>
    </row>
    <row r="3817" spans="1:11" x14ac:dyDescent="0.25">
      <c r="A3817" t="s">
        <v>203</v>
      </c>
      <c r="B3817" t="s">
        <v>229</v>
      </c>
      <c r="C3817">
        <v>368</v>
      </c>
      <c r="D3817" t="s">
        <v>199</v>
      </c>
      <c r="E3817">
        <v>2601</v>
      </c>
      <c r="G3817" s="1">
        <v>3.2000000000000001E-2</v>
      </c>
      <c r="I3817" s="1">
        <v>0.8548</v>
      </c>
      <c r="J3817" s="1">
        <v>6.9999999999999999E-4</v>
      </c>
      <c r="K3817" s="1">
        <v>0.1125</v>
      </c>
    </row>
    <row r="3818" spans="1:11" x14ac:dyDescent="0.25">
      <c r="A3818" t="s">
        <v>203</v>
      </c>
      <c r="B3818" t="s">
        <v>228</v>
      </c>
      <c r="C3818">
        <v>150</v>
      </c>
      <c r="D3818" t="s">
        <v>199</v>
      </c>
      <c r="E3818">
        <v>2601</v>
      </c>
      <c r="F3818" s="1">
        <v>8.5000000000000006E-3</v>
      </c>
      <c r="G3818" s="1">
        <v>6.5699999999999995E-2</v>
      </c>
      <c r="I3818" s="1">
        <v>0.8982</v>
      </c>
      <c r="K3818" s="1">
        <v>2.76E-2</v>
      </c>
    </row>
    <row r="3819" spans="1:11" x14ac:dyDescent="0.25">
      <c r="A3819" t="s">
        <v>203</v>
      </c>
      <c r="B3819" t="s">
        <v>229</v>
      </c>
      <c r="C3819">
        <v>347</v>
      </c>
      <c r="D3819" t="s">
        <v>200</v>
      </c>
      <c r="E3819">
        <v>2601</v>
      </c>
      <c r="G3819" s="1">
        <v>2.1899999999999999E-2</v>
      </c>
      <c r="I3819" s="1">
        <v>0.78149999999999997</v>
      </c>
      <c r="K3819" s="1">
        <v>0.1966</v>
      </c>
    </row>
    <row r="3820" spans="1:11" x14ac:dyDescent="0.25">
      <c r="A3820" t="s">
        <v>203</v>
      </c>
      <c r="B3820" t="s">
        <v>228</v>
      </c>
      <c r="C3820">
        <v>155</v>
      </c>
      <c r="D3820" t="s">
        <v>200</v>
      </c>
      <c r="E3820">
        <v>2601</v>
      </c>
      <c r="G3820" s="1">
        <v>3.6400000000000002E-2</v>
      </c>
      <c r="H3820" s="1">
        <v>2.3999999999999998E-3</v>
      </c>
      <c r="I3820" s="1">
        <v>0.91249999999999998</v>
      </c>
      <c r="K3820" s="1">
        <v>4.87E-2</v>
      </c>
    </row>
    <row r="3821" spans="1:11" x14ac:dyDescent="0.25">
      <c r="A3821" t="s">
        <v>203</v>
      </c>
      <c r="B3821" t="s">
        <v>229</v>
      </c>
      <c r="C3821">
        <v>137</v>
      </c>
      <c r="D3821" t="s">
        <v>201</v>
      </c>
      <c r="E3821">
        <v>2601</v>
      </c>
      <c r="G3821" s="1">
        <v>2.52E-2</v>
      </c>
      <c r="I3821" s="1">
        <v>0.88539999999999996</v>
      </c>
      <c r="K3821" s="1">
        <v>8.9399999999999993E-2</v>
      </c>
    </row>
    <row r="3822" spans="1:11" x14ac:dyDescent="0.25">
      <c r="A3822" t="s">
        <v>203</v>
      </c>
      <c r="B3822" t="s">
        <v>228</v>
      </c>
      <c r="C3822">
        <v>177</v>
      </c>
      <c r="D3822" t="s">
        <v>201</v>
      </c>
      <c r="E3822">
        <v>2601</v>
      </c>
      <c r="G3822" s="1">
        <v>3.6499999999999998E-2</v>
      </c>
      <c r="I3822" s="1">
        <v>0.95689999999999997</v>
      </c>
      <c r="K3822" s="1">
        <v>6.4999999999999997E-3</v>
      </c>
    </row>
    <row r="3823" spans="1:11" x14ac:dyDescent="0.25">
      <c r="A3823" t="s">
        <v>203</v>
      </c>
      <c r="B3823" t="s">
        <v>228</v>
      </c>
      <c r="C3823">
        <v>34</v>
      </c>
      <c r="D3823" t="s">
        <v>202</v>
      </c>
      <c r="E3823">
        <v>2601</v>
      </c>
      <c r="I3823" s="1">
        <v>1</v>
      </c>
    </row>
    <row r="3824" spans="1:11" x14ac:dyDescent="0.25">
      <c r="A3824" t="s">
        <v>203</v>
      </c>
      <c r="B3824" t="s">
        <v>229</v>
      </c>
      <c r="C3824">
        <v>56</v>
      </c>
      <c r="D3824" t="s">
        <v>202</v>
      </c>
      <c r="E3824">
        <v>2601</v>
      </c>
      <c r="F3824" s="1">
        <v>6.8999999999999999E-3</v>
      </c>
      <c r="I3824" s="1">
        <v>0.76439999999999997</v>
      </c>
      <c r="K3824" s="1">
        <v>0.22869999999999999</v>
      </c>
    </row>
    <row r="3825" spans="1:11" x14ac:dyDescent="0.25">
      <c r="A3825" t="s">
        <v>204</v>
      </c>
      <c r="B3825" t="s">
        <v>204</v>
      </c>
      <c r="C3825">
        <v>2601</v>
      </c>
      <c r="D3825" t="s">
        <v>204</v>
      </c>
      <c r="E3825">
        <v>2601</v>
      </c>
      <c r="F3825" s="1">
        <v>6.9999999999999999E-4</v>
      </c>
      <c r="G3825" s="1">
        <v>9.8500000000000004E-2</v>
      </c>
      <c r="H3825" s="1">
        <v>2E-3</v>
      </c>
      <c r="I3825" s="1">
        <v>0.51439999999999997</v>
      </c>
      <c r="J3825" s="1">
        <v>2.0000000000000001E-4</v>
      </c>
      <c r="K3825" s="1">
        <v>0.38419999999999999</v>
      </c>
    </row>
    <row r="3827" spans="1:11" x14ac:dyDescent="0.25">
      <c r="A3827" t="s">
        <v>920</v>
      </c>
    </row>
    <row r="3828" spans="1:11" x14ac:dyDescent="0.25">
      <c r="A3828" t="s">
        <v>190</v>
      </c>
      <c r="B3828" t="s">
        <v>206</v>
      </c>
      <c r="C3828" t="s">
        <v>195</v>
      </c>
      <c r="D3828" t="s">
        <v>189</v>
      </c>
      <c r="E3828" t="s">
        <v>196</v>
      </c>
      <c r="F3828" t="s">
        <v>220</v>
      </c>
      <c r="G3828" t="s">
        <v>915</v>
      </c>
      <c r="H3828" t="s">
        <v>916</v>
      </c>
      <c r="I3828" t="s">
        <v>917</v>
      </c>
      <c r="J3828" t="s">
        <v>215</v>
      </c>
      <c r="K3828" t="s">
        <v>918</v>
      </c>
    </row>
    <row r="3829" spans="1:11" x14ac:dyDescent="0.25">
      <c r="A3829" t="s">
        <v>198</v>
      </c>
      <c r="B3829" t="s">
        <v>348</v>
      </c>
      <c r="C3829">
        <v>70</v>
      </c>
      <c r="D3829" t="s">
        <v>197</v>
      </c>
      <c r="E3829">
        <v>2601</v>
      </c>
      <c r="G3829" s="1">
        <v>0.2636</v>
      </c>
      <c r="I3829" s="1">
        <v>0.21390000000000001</v>
      </c>
      <c r="K3829" s="1">
        <v>0.52249999999999996</v>
      </c>
    </row>
    <row r="3830" spans="1:11" s="29" customFormat="1" x14ac:dyDescent="0.25">
      <c r="A3830" s="29" t="s">
        <v>198</v>
      </c>
      <c r="B3830" s="29" t="s">
        <v>349</v>
      </c>
      <c r="C3830" s="29">
        <v>2</v>
      </c>
      <c r="D3830" s="29" t="s">
        <v>197</v>
      </c>
      <c r="E3830" s="29">
        <v>2601</v>
      </c>
      <c r="I3830" s="30">
        <v>0.5</v>
      </c>
      <c r="K3830" s="30">
        <v>0.5</v>
      </c>
    </row>
    <row r="3831" spans="1:11" x14ac:dyDescent="0.25">
      <c r="A3831" t="s">
        <v>198</v>
      </c>
      <c r="B3831" t="s">
        <v>348</v>
      </c>
      <c r="C3831">
        <v>52</v>
      </c>
      <c r="D3831" t="s">
        <v>199</v>
      </c>
      <c r="E3831">
        <v>2601</v>
      </c>
      <c r="F3831" s="1">
        <v>3.8999999999999998E-3</v>
      </c>
      <c r="G3831" s="1">
        <v>0.1676</v>
      </c>
      <c r="I3831" s="1">
        <v>0.16489999999999999</v>
      </c>
      <c r="K3831" s="1">
        <v>0.66359999999999997</v>
      </c>
    </row>
    <row r="3832" spans="1:11" x14ac:dyDescent="0.25">
      <c r="A3832" t="s">
        <v>198</v>
      </c>
      <c r="B3832" t="s">
        <v>349</v>
      </c>
      <c r="C3832">
        <v>110</v>
      </c>
      <c r="D3832" t="s">
        <v>199</v>
      </c>
      <c r="E3832">
        <v>2601</v>
      </c>
      <c r="G3832" s="1">
        <v>0.16819999999999999</v>
      </c>
      <c r="H3832" s="1">
        <v>6.9999999999999999E-4</v>
      </c>
      <c r="I3832" s="1">
        <v>0.1106</v>
      </c>
      <c r="K3832" s="1">
        <v>0.72050000000000003</v>
      </c>
    </row>
    <row r="3833" spans="1:11" x14ac:dyDescent="0.25">
      <c r="A3833" t="s">
        <v>198</v>
      </c>
      <c r="B3833" t="s">
        <v>350</v>
      </c>
      <c r="C3833">
        <v>189</v>
      </c>
      <c r="D3833" t="s">
        <v>199</v>
      </c>
      <c r="E3833">
        <v>2601</v>
      </c>
      <c r="G3833" s="1">
        <v>0.14430000000000001</v>
      </c>
      <c r="I3833" s="1">
        <v>0.1013</v>
      </c>
      <c r="J3833" s="1">
        <v>2.8999999999999998E-3</v>
      </c>
      <c r="K3833" s="1">
        <v>0.75149999999999995</v>
      </c>
    </row>
    <row r="3834" spans="1:11" x14ac:dyDescent="0.25">
      <c r="A3834" t="s">
        <v>198</v>
      </c>
      <c r="B3834" t="s">
        <v>350</v>
      </c>
      <c r="C3834">
        <v>78</v>
      </c>
      <c r="D3834" t="s">
        <v>200</v>
      </c>
      <c r="E3834">
        <v>2601</v>
      </c>
      <c r="G3834" s="1">
        <v>0.22570000000000001</v>
      </c>
      <c r="H3834" s="1">
        <v>9.9000000000000008E-3</v>
      </c>
      <c r="I3834" s="1">
        <v>7.0499999999999993E-2</v>
      </c>
      <c r="K3834" s="1">
        <v>0.69389999999999996</v>
      </c>
    </row>
    <row r="3835" spans="1:11" x14ac:dyDescent="0.25">
      <c r="A3835" t="s">
        <v>198</v>
      </c>
      <c r="B3835" t="s">
        <v>348</v>
      </c>
      <c r="C3835">
        <v>240</v>
      </c>
      <c r="D3835" t="s">
        <v>200</v>
      </c>
      <c r="E3835">
        <v>2601</v>
      </c>
      <c r="G3835" s="1">
        <v>0.2034</v>
      </c>
      <c r="H3835" s="1">
        <v>1.0699999999999999E-2</v>
      </c>
      <c r="I3835" s="1">
        <v>0.11749999999999999</v>
      </c>
      <c r="K3835" s="1">
        <v>0.66839999999999999</v>
      </c>
    </row>
    <row r="3836" spans="1:11" x14ac:dyDescent="0.25">
      <c r="A3836" t="s">
        <v>198</v>
      </c>
      <c r="B3836" t="s">
        <v>349</v>
      </c>
      <c r="C3836">
        <v>62</v>
      </c>
      <c r="D3836" t="s">
        <v>200</v>
      </c>
      <c r="E3836">
        <v>2601</v>
      </c>
      <c r="G3836" s="1">
        <v>0.26779999999999998</v>
      </c>
      <c r="H3836" s="1">
        <v>4.1999999999999997E-3</v>
      </c>
      <c r="I3836" s="1">
        <v>0.38750000000000001</v>
      </c>
      <c r="K3836" s="1">
        <v>0.34050000000000002</v>
      </c>
    </row>
    <row r="3837" spans="1:11" x14ac:dyDescent="0.25">
      <c r="A3837" t="s">
        <v>198</v>
      </c>
      <c r="B3837" t="s">
        <v>349</v>
      </c>
      <c r="C3837">
        <v>124</v>
      </c>
      <c r="D3837" t="s">
        <v>201</v>
      </c>
      <c r="E3837">
        <v>2601</v>
      </c>
      <c r="G3837" s="1">
        <v>0.1114</v>
      </c>
      <c r="I3837" s="1">
        <v>8.2100000000000006E-2</v>
      </c>
      <c r="K3837" s="1">
        <v>0.80649999999999999</v>
      </c>
    </row>
    <row r="3838" spans="1:11" x14ac:dyDescent="0.25">
      <c r="A3838" t="s">
        <v>198</v>
      </c>
      <c r="B3838" t="s">
        <v>350</v>
      </c>
      <c r="C3838">
        <v>62</v>
      </c>
      <c r="D3838" t="s">
        <v>201</v>
      </c>
      <c r="E3838">
        <v>2601</v>
      </c>
      <c r="G3838" s="1">
        <v>0.29659999999999997</v>
      </c>
      <c r="I3838" s="1">
        <v>0.20480000000000001</v>
      </c>
      <c r="K3838" s="1">
        <v>0.49859999999999999</v>
      </c>
    </row>
    <row r="3839" spans="1:11" x14ac:dyDescent="0.25">
      <c r="A3839" t="s">
        <v>198</v>
      </c>
      <c r="B3839" t="s">
        <v>348</v>
      </c>
      <c r="C3839">
        <v>61</v>
      </c>
      <c r="D3839" t="s">
        <v>201</v>
      </c>
      <c r="E3839">
        <v>2601</v>
      </c>
      <c r="F3839" s="1">
        <v>1.7500000000000002E-2</v>
      </c>
      <c r="G3839" s="1">
        <v>0.26129999999999998</v>
      </c>
      <c r="H3839" s="1">
        <v>4.1799999999999997E-2</v>
      </c>
      <c r="I3839" s="1">
        <v>0.20480000000000001</v>
      </c>
      <c r="K3839" s="1">
        <v>0.47460000000000002</v>
      </c>
    </row>
    <row r="3840" spans="1:11" x14ac:dyDescent="0.25">
      <c r="A3840" t="s">
        <v>198</v>
      </c>
      <c r="B3840" t="s">
        <v>348</v>
      </c>
      <c r="C3840">
        <v>88</v>
      </c>
      <c r="D3840" t="s">
        <v>202</v>
      </c>
      <c r="E3840">
        <v>2601</v>
      </c>
      <c r="G3840" s="1">
        <v>0.17219999999999999</v>
      </c>
      <c r="I3840" s="1">
        <v>7.3400000000000007E-2</v>
      </c>
      <c r="K3840" s="1">
        <v>0.75429999999999997</v>
      </c>
    </row>
    <row r="3841" spans="1:11" x14ac:dyDescent="0.25">
      <c r="A3841" t="s">
        <v>203</v>
      </c>
      <c r="B3841" t="s">
        <v>349</v>
      </c>
      <c r="C3841">
        <v>171</v>
      </c>
      <c r="D3841" t="s">
        <v>199</v>
      </c>
      <c r="E3841">
        <v>2601</v>
      </c>
      <c r="F3841" s="1">
        <v>2.8E-3</v>
      </c>
      <c r="G3841" s="1">
        <v>2.7699999999999999E-2</v>
      </c>
      <c r="I3841" s="1">
        <v>0.92049999999999998</v>
      </c>
      <c r="K3841" s="1">
        <v>4.9099999999999998E-2</v>
      </c>
    </row>
    <row r="3842" spans="1:11" x14ac:dyDescent="0.25">
      <c r="A3842" t="s">
        <v>203</v>
      </c>
      <c r="B3842" t="s">
        <v>348</v>
      </c>
      <c r="C3842">
        <v>42</v>
      </c>
      <c r="D3842" t="s">
        <v>199</v>
      </c>
      <c r="E3842">
        <v>2601</v>
      </c>
      <c r="G3842" s="1">
        <v>0.01</v>
      </c>
      <c r="I3842" s="1">
        <v>0.71189999999999998</v>
      </c>
      <c r="K3842" s="1">
        <v>0.27810000000000001</v>
      </c>
    </row>
    <row r="3843" spans="1:11" x14ac:dyDescent="0.25">
      <c r="A3843" t="s">
        <v>203</v>
      </c>
      <c r="B3843" t="s">
        <v>350</v>
      </c>
      <c r="C3843">
        <v>305</v>
      </c>
      <c r="D3843" t="s">
        <v>199</v>
      </c>
      <c r="E3843">
        <v>2601</v>
      </c>
      <c r="G3843" s="1">
        <v>4.1399999999999999E-2</v>
      </c>
      <c r="I3843" s="1">
        <v>0.8377</v>
      </c>
      <c r="J3843" s="1">
        <v>1E-3</v>
      </c>
      <c r="K3843" s="1">
        <v>0.11990000000000001</v>
      </c>
    </row>
    <row r="3844" spans="1:11" x14ac:dyDescent="0.25">
      <c r="A3844" t="s">
        <v>203</v>
      </c>
      <c r="B3844" t="s">
        <v>348</v>
      </c>
      <c r="C3844">
        <v>300</v>
      </c>
      <c r="D3844" t="s">
        <v>200</v>
      </c>
      <c r="E3844">
        <v>2601</v>
      </c>
      <c r="G3844" s="1">
        <v>2.53E-2</v>
      </c>
      <c r="I3844" s="1">
        <v>0.80149999999999999</v>
      </c>
      <c r="K3844" s="1">
        <v>0.17319999999999999</v>
      </c>
    </row>
    <row r="3845" spans="1:11" x14ac:dyDescent="0.25">
      <c r="A3845" t="s">
        <v>203</v>
      </c>
      <c r="B3845" t="s">
        <v>349</v>
      </c>
      <c r="C3845">
        <v>108</v>
      </c>
      <c r="D3845" t="s">
        <v>200</v>
      </c>
      <c r="E3845">
        <v>2601</v>
      </c>
      <c r="G3845" s="1">
        <v>1.6199999999999999E-2</v>
      </c>
      <c r="I3845" s="1">
        <v>0.83660000000000001</v>
      </c>
      <c r="K3845" s="1">
        <v>0.1472</v>
      </c>
    </row>
    <row r="3846" spans="1:11" x14ac:dyDescent="0.25">
      <c r="A3846" t="s">
        <v>203</v>
      </c>
      <c r="B3846" t="s">
        <v>350</v>
      </c>
      <c r="C3846">
        <v>94</v>
      </c>
      <c r="D3846" t="s">
        <v>200</v>
      </c>
      <c r="E3846">
        <v>2601</v>
      </c>
      <c r="G3846" s="1">
        <v>3.09E-2</v>
      </c>
      <c r="H3846" s="1">
        <v>1.38E-2</v>
      </c>
      <c r="I3846" s="1">
        <v>0.87609999999999999</v>
      </c>
      <c r="K3846" s="1">
        <v>7.9200000000000007E-2</v>
      </c>
    </row>
    <row r="3847" spans="1:11" x14ac:dyDescent="0.25">
      <c r="A3847" t="s">
        <v>203</v>
      </c>
      <c r="B3847" t="s">
        <v>348</v>
      </c>
      <c r="C3847">
        <v>62</v>
      </c>
      <c r="D3847" t="s">
        <v>201</v>
      </c>
      <c r="E3847">
        <v>2601</v>
      </c>
      <c r="G3847" s="1">
        <v>1.84E-2</v>
      </c>
      <c r="I3847" s="1">
        <v>0.96379999999999999</v>
      </c>
      <c r="K3847" s="1">
        <v>1.78E-2</v>
      </c>
    </row>
    <row r="3848" spans="1:11" x14ac:dyDescent="0.25">
      <c r="A3848" t="s">
        <v>203</v>
      </c>
      <c r="B3848" t="s">
        <v>349</v>
      </c>
      <c r="C3848">
        <v>147</v>
      </c>
      <c r="D3848" t="s">
        <v>201</v>
      </c>
      <c r="E3848">
        <v>2601</v>
      </c>
      <c r="G3848" s="1">
        <v>1.5800000000000002E-2</v>
      </c>
      <c r="I3848" s="1">
        <v>0.90449999999999997</v>
      </c>
      <c r="K3848" s="1">
        <v>7.9799999999999996E-2</v>
      </c>
    </row>
    <row r="3849" spans="1:11" x14ac:dyDescent="0.25">
      <c r="A3849" t="s">
        <v>203</v>
      </c>
      <c r="B3849" t="s">
        <v>350</v>
      </c>
      <c r="C3849">
        <v>105</v>
      </c>
      <c r="D3849" t="s">
        <v>201</v>
      </c>
      <c r="E3849">
        <v>2601</v>
      </c>
      <c r="G3849" s="1">
        <v>0.18129999999999999</v>
      </c>
      <c r="I3849" s="1">
        <v>0.78620000000000001</v>
      </c>
      <c r="K3849" s="1">
        <v>3.2500000000000001E-2</v>
      </c>
    </row>
    <row r="3850" spans="1:11" x14ac:dyDescent="0.25">
      <c r="A3850" t="s">
        <v>203</v>
      </c>
      <c r="B3850" t="s">
        <v>348</v>
      </c>
      <c r="C3850">
        <v>90</v>
      </c>
      <c r="D3850" t="s">
        <v>202</v>
      </c>
      <c r="E3850">
        <v>2601</v>
      </c>
      <c r="F3850" s="1">
        <v>4.8999999999999998E-3</v>
      </c>
      <c r="I3850" s="1">
        <v>0.83099999999999996</v>
      </c>
      <c r="K3850" s="1">
        <v>0.16400000000000001</v>
      </c>
    </row>
    <row r="3851" spans="1:11" x14ac:dyDescent="0.25">
      <c r="A3851" t="s">
        <v>204</v>
      </c>
      <c r="B3851" t="s">
        <v>204</v>
      </c>
      <c r="C3851">
        <v>2601</v>
      </c>
      <c r="D3851" t="s">
        <v>204</v>
      </c>
      <c r="E3851">
        <v>2601</v>
      </c>
      <c r="F3851" s="1">
        <v>6.9999999999999999E-4</v>
      </c>
      <c r="G3851" s="1">
        <v>9.8500000000000004E-2</v>
      </c>
      <c r="H3851" s="1">
        <v>2E-3</v>
      </c>
      <c r="I3851" s="1">
        <v>0.51439999999999997</v>
      </c>
      <c r="J3851" s="1">
        <v>2.0000000000000001E-4</v>
      </c>
      <c r="K3851" s="1">
        <v>0.38419999999999999</v>
      </c>
    </row>
    <row r="3853" spans="1:11" x14ac:dyDescent="0.25">
      <c r="A3853" t="s">
        <v>921</v>
      </c>
    </row>
    <row r="3854" spans="1:11" x14ac:dyDescent="0.25">
      <c r="A3854" t="s">
        <v>190</v>
      </c>
      <c r="B3854" t="s">
        <v>195</v>
      </c>
      <c r="C3854" t="s">
        <v>189</v>
      </c>
      <c r="D3854" t="s">
        <v>196</v>
      </c>
      <c r="E3854" t="s">
        <v>220</v>
      </c>
      <c r="F3854" t="s">
        <v>207</v>
      </c>
      <c r="G3854" t="s">
        <v>215</v>
      </c>
      <c r="H3854" t="s">
        <v>208</v>
      </c>
    </row>
    <row r="3855" spans="1:11" x14ac:dyDescent="0.25">
      <c r="A3855" t="s">
        <v>198</v>
      </c>
      <c r="B3855">
        <v>82</v>
      </c>
      <c r="C3855" t="s">
        <v>197</v>
      </c>
      <c r="D3855">
        <v>2632</v>
      </c>
      <c r="E3855" s="1">
        <v>0.3135</v>
      </c>
      <c r="F3855" s="1">
        <v>0.55620000000000003</v>
      </c>
      <c r="H3855" s="1">
        <v>0.1303</v>
      </c>
    </row>
    <row r="3856" spans="1:11" x14ac:dyDescent="0.25">
      <c r="A3856" t="s">
        <v>198</v>
      </c>
      <c r="B3856">
        <v>368</v>
      </c>
      <c r="C3856" t="s">
        <v>199</v>
      </c>
      <c r="D3856">
        <v>2632</v>
      </c>
      <c r="E3856" s="1">
        <v>0.37090000000000001</v>
      </c>
      <c r="F3856" s="1">
        <v>0.52580000000000005</v>
      </c>
      <c r="H3856" s="1">
        <v>0.1033</v>
      </c>
    </row>
    <row r="3857" spans="1:9" x14ac:dyDescent="0.25">
      <c r="A3857" t="s">
        <v>198</v>
      </c>
      <c r="B3857">
        <v>387</v>
      </c>
      <c r="C3857" t="s">
        <v>200</v>
      </c>
      <c r="D3857">
        <v>2632</v>
      </c>
      <c r="E3857" s="1">
        <v>0.28249999999999997</v>
      </c>
      <c r="F3857" s="1">
        <v>0.60209999999999997</v>
      </c>
      <c r="G3857" s="1">
        <v>6.3E-3</v>
      </c>
      <c r="H3857" s="1">
        <v>0.1091</v>
      </c>
    </row>
    <row r="3858" spans="1:9" x14ac:dyDescent="0.25">
      <c r="A3858" t="s">
        <v>198</v>
      </c>
      <c r="B3858">
        <v>256</v>
      </c>
      <c r="C3858" t="s">
        <v>201</v>
      </c>
      <c r="D3858">
        <v>2632</v>
      </c>
      <c r="E3858" s="1">
        <v>0.27060000000000001</v>
      </c>
      <c r="F3858" s="1">
        <v>0.64680000000000004</v>
      </c>
      <c r="H3858" s="1">
        <v>8.2699999999999996E-2</v>
      </c>
    </row>
    <row r="3859" spans="1:9" x14ac:dyDescent="0.25">
      <c r="A3859" t="s">
        <v>198</v>
      </c>
      <c r="B3859">
        <v>96</v>
      </c>
      <c r="C3859" t="s">
        <v>202</v>
      </c>
      <c r="D3859">
        <v>2632</v>
      </c>
      <c r="E3859" s="1">
        <v>0.2964</v>
      </c>
      <c r="F3859" s="1">
        <v>0.55920000000000003</v>
      </c>
      <c r="H3859" s="1">
        <v>0.1444</v>
      </c>
    </row>
    <row r="3860" spans="1:9" x14ac:dyDescent="0.25">
      <c r="A3860" t="s">
        <v>203</v>
      </c>
      <c r="B3860">
        <v>529</v>
      </c>
      <c r="C3860" t="s">
        <v>199</v>
      </c>
      <c r="D3860">
        <v>2632</v>
      </c>
      <c r="E3860" s="1">
        <v>0.1628</v>
      </c>
      <c r="F3860" s="1">
        <v>0.70809999999999995</v>
      </c>
      <c r="G3860" s="1">
        <v>9.4999999999999998E-3</v>
      </c>
      <c r="H3860" s="1">
        <v>0.1196</v>
      </c>
    </row>
    <row r="3861" spans="1:9" x14ac:dyDescent="0.25">
      <c r="A3861" t="s">
        <v>203</v>
      </c>
      <c r="B3861">
        <v>503</v>
      </c>
      <c r="C3861" t="s">
        <v>200</v>
      </c>
      <c r="D3861">
        <v>2632</v>
      </c>
      <c r="E3861" s="1">
        <v>5.6099999999999997E-2</v>
      </c>
      <c r="F3861" s="1">
        <v>0.90869999999999995</v>
      </c>
      <c r="H3861" s="1">
        <v>3.5200000000000002E-2</v>
      </c>
    </row>
    <row r="3862" spans="1:9" x14ac:dyDescent="0.25">
      <c r="A3862" t="s">
        <v>203</v>
      </c>
      <c r="B3862">
        <v>321</v>
      </c>
      <c r="C3862" t="s">
        <v>201</v>
      </c>
      <c r="D3862">
        <v>2632</v>
      </c>
      <c r="E3862" s="1">
        <v>0.15859999999999999</v>
      </c>
      <c r="F3862" s="1">
        <v>0.83330000000000004</v>
      </c>
      <c r="H3862" s="1">
        <v>8.0999999999999996E-3</v>
      </c>
    </row>
    <row r="3863" spans="1:9" x14ac:dyDescent="0.25">
      <c r="A3863" t="s">
        <v>203</v>
      </c>
      <c r="B3863">
        <v>90</v>
      </c>
      <c r="C3863" t="s">
        <v>202</v>
      </c>
      <c r="D3863">
        <v>2632</v>
      </c>
      <c r="E3863" s="1">
        <v>1.3599999999999999E-2</v>
      </c>
      <c r="F3863" s="1">
        <v>0.94979999999999998</v>
      </c>
      <c r="H3863" s="1">
        <v>3.6600000000000001E-2</v>
      </c>
    </row>
    <row r="3864" spans="1:9" x14ac:dyDescent="0.25">
      <c r="A3864" t="s">
        <v>204</v>
      </c>
      <c r="B3864">
        <v>2632</v>
      </c>
      <c r="C3864" t="s">
        <v>204</v>
      </c>
      <c r="D3864">
        <v>2632</v>
      </c>
      <c r="E3864" s="1">
        <v>0.191</v>
      </c>
      <c r="F3864" s="1">
        <v>0.72550000000000003</v>
      </c>
      <c r="G3864" s="1">
        <v>2E-3</v>
      </c>
      <c r="H3864" s="1">
        <v>8.14E-2</v>
      </c>
    </row>
    <row r="3866" spans="1:9" x14ac:dyDescent="0.25">
      <c r="A3866" t="s">
        <v>922</v>
      </c>
    </row>
    <row r="3867" spans="1:9" x14ac:dyDescent="0.25">
      <c r="A3867" t="s">
        <v>190</v>
      </c>
      <c r="B3867" t="s">
        <v>206</v>
      </c>
      <c r="C3867" t="s">
        <v>195</v>
      </c>
      <c r="D3867" t="s">
        <v>189</v>
      </c>
      <c r="E3867" t="s">
        <v>196</v>
      </c>
      <c r="F3867" t="s">
        <v>220</v>
      </c>
      <c r="G3867" t="s">
        <v>207</v>
      </c>
      <c r="H3867" t="s">
        <v>215</v>
      </c>
      <c r="I3867" t="s">
        <v>208</v>
      </c>
    </row>
    <row r="3868" spans="1:9" x14ac:dyDescent="0.25">
      <c r="A3868" t="s">
        <v>198</v>
      </c>
      <c r="B3868" t="s">
        <v>228</v>
      </c>
      <c r="C3868">
        <v>33</v>
      </c>
      <c r="D3868" t="s">
        <v>197</v>
      </c>
      <c r="E3868">
        <v>2632</v>
      </c>
      <c r="F3868" s="1">
        <v>0.17399999999999999</v>
      </c>
      <c r="G3868" s="1">
        <v>0.74309999999999998</v>
      </c>
      <c r="I3868" s="1">
        <v>8.2900000000000001E-2</v>
      </c>
    </row>
    <row r="3869" spans="1:9" x14ac:dyDescent="0.25">
      <c r="A3869" t="s">
        <v>198</v>
      </c>
      <c r="B3869" t="s">
        <v>229</v>
      </c>
      <c r="C3869">
        <v>49</v>
      </c>
      <c r="D3869" t="s">
        <v>197</v>
      </c>
      <c r="E3869">
        <v>2632</v>
      </c>
      <c r="F3869" s="1">
        <v>0.41959999999999997</v>
      </c>
      <c r="G3869" s="1">
        <v>0.41410000000000002</v>
      </c>
      <c r="I3869" s="1">
        <v>0.1663</v>
      </c>
    </row>
    <row r="3870" spans="1:9" x14ac:dyDescent="0.25">
      <c r="A3870" t="s">
        <v>198</v>
      </c>
      <c r="B3870" t="s">
        <v>228</v>
      </c>
      <c r="C3870">
        <v>145</v>
      </c>
      <c r="D3870" t="s">
        <v>199</v>
      </c>
      <c r="E3870">
        <v>2632</v>
      </c>
      <c r="F3870" s="1">
        <v>0.3569</v>
      </c>
      <c r="G3870" s="1">
        <v>0.47670000000000001</v>
      </c>
      <c r="I3870" s="1">
        <v>0.16639999999999999</v>
      </c>
    </row>
    <row r="3871" spans="1:9" x14ac:dyDescent="0.25">
      <c r="A3871" t="s">
        <v>198</v>
      </c>
      <c r="B3871" t="s">
        <v>229</v>
      </c>
      <c r="C3871">
        <v>213</v>
      </c>
      <c r="D3871" t="s">
        <v>199</v>
      </c>
      <c r="E3871">
        <v>2632</v>
      </c>
      <c r="F3871" s="1">
        <v>0.3755</v>
      </c>
      <c r="G3871" s="1">
        <v>0.54369999999999996</v>
      </c>
      <c r="I3871" s="1">
        <v>8.0799999999999997E-2</v>
      </c>
    </row>
    <row r="3872" spans="1:9" x14ac:dyDescent="0.25">
      <c r="A3872" t="s">
        <v>198</v>
      </c>
      <c r="B3872" t="s">
        <v>229</v>
      </c>
      <c r="C3872">
        <v>270</v>
      </c>
      <c r="D3872" t="s">
        <v>200</v>
      </c>
      <c r="E3872">
        <v>2632</v>
      </c>
      <c r="F3872" s="1">
        <v>0.28610000000000002</v>
      </c>
      <c r="G3872" s="1">
        <v>0.5927</v>
      </c>
      <c r="H3872" s="1">
        <v>8.3000000000000001E-3</v>
      </c>
      <c r="I3872" s="1">
        <v>0.1129</v>
      </c>
    </row>
    <row r="3873" spans="1:9" x14ac:dyDescent="0.25">
      <c r="A3873" t="s">
        <v>198</v>
      </c>
      <c r="B3873" t="s">
        <v>228</v>
      </c>
      <c r="C3873">
        <v>112</v>
      </c>
      <c r="D3873" t="s">
        <v>200</v>
      </c>
      <c r="E3873">
        <v>2632</v>
      </c>
      <c r="F3873" s="1">
        <v>0.26950000000000002</v>
      </c>
      <c r="G3873" s="1">
        <v>0.63070000000000004</v>
      </c>
      <c r="I3873" s="1">
        <v>9.9900000000000003E-2</v>
      </c>
    </row>
    <row r="3874" spans="1:9" x14ac:dyDescent="0.25">
      <c r="A3874" t="s">
        <v>198</v>
      </c>
      <c r="B3874" t="s">
        <v>228</v>
      </c>
      <c r="C3874">
        <v>95</v>
      </c>
      <c r="D3874" t="s">
        <v>201</v>
      </c>
      <c r="E3874">
        <v>2632</v>
      </c>
      <c r="F3874" s="1">
        <v>0.158</v>
      </c>
      <c r="G3874" s="1">
        <v>0.75639999999999996</v>
      </c>
      <c r="I3874" s="1">
        <v>8.5599999999999996E-2</v>
      </c>
    </row>
    <row r="3875" spans="1:9" x14ac:dyDescent="0.25">
      <c r="A3875" t="s">
        <v>198</v>
      </c>
      <c r="B3875" t="s">
        <v>229</v>
      </c>
      <c r="C3875">
        <v>155</v>
      </c>
      <c r="D3875" t="s">
        <v>201</v>
      </c>
      <c r="E3875">
        <v>2632</v>
      </c>
      <c r="F3875" s="1">
        <v>0.29930000000000001</v>
      </c>
      <c r="G3875" s="1">
        <v>0.61860000000000004</v>
      </c>
      <c r="I3875" s="1">
        <v>8.2100000000000006E-2</v>
      </c>
    </row>
    <row r="3876" spans="1:9" s="29" customFormat="1" x14ac:dyDescent="0.25">
      <c r="A3876" s="29" t="s">
        <v>198</v>
      </c>
      <c r="B3876" s="29" t="s">
        <v>228</v>
      </c>
      <c r="C3876" s="29">
        <v>28</v>
      </c>
      <c r="D3876" s="29" t="s">
        <v>202</v>
      </c>
      <c r="E3876" s="29">
        <v>2632</v>
      </c>
      <c r="F3876" s="30">
        <v>0.33689999999999998</v>
      </c>
      <c r="G3876" s="30">
        <v>0.52249999999999996</v>
      </c>
      <c r="I3876" s="30">
        <v>0.14069999999999999</v>
      </c>
    </row>
    <row r="3877" spans="1:9" x14ac:dyDescent="0.25">
      <c r="A3877" t="s">
        <v>198</v>
      </c>
      <c r="B3877" t="s">
        <v>229</v>
      </c>
      <c r="C3877">
        <v>68</v>
      </c>
      <c r="D3877" t="s">
        <v>202</v>
      </c>
      <c r="E3877">
        <v>2632</v>
      </c>
      <c r="F3877" s="1">
        <v>0.28389999999999999</v>
      </c>
      <c r="G3877" s="1">
        <v>0.57050000000000001</v>
      </c>
      <c r="I3877" s="1">
        <v>0.14549999999999999</v>
      </c>
    </row>
    <row r="3878" spans="1:9" x14ac:dyDescent="0.25">
      <c r="A3878" t="s">
        <v>203</v>
      </c>
      <c r="B3878" t="s">
        <v>229</v>
      </c>
      <c r="C3878">
        <v>369</v>
      </c>
      <c r="D3878" t="s">
        <v>199</v>
      </c>
      <c r="E3878">
        <v>2632</v>
      </c>
      <c r="F3878" s="1">
        <v>0.1663</v>
      </c>
      <c r="G3878" s="1">
        <v>0.69589999999999996</v>
      </c>
      <c r="H3878" s="1">
        <v>1.01E-2</v>
      </c>
      <c r="I3878" s="1">
        <v>0.12770000000000001</v>
      </c>
    </row>
    <row r="3879" spans="1:9" x14ac:dyDescent="0.25">
      <c r="A3879" t="s">
        <v>203</v>
      </c>
      <c r="B3879" t="s">
        <v>228</v>
      </c>
      <c r="C3879">
        <v>150</v>
      </c>
      <c r="D3879" t="s">
        <v>199</v>
      </c>
      <c r="E3879">
        <v>2632</v>
      </c>
      <c r="F3879" s="1">
        <v>0.12939999999999999</v>
      </c>
      <c r="G3879" s="1">
        <v>0.81659999999999999</v>
      </c>
      <c r="H3879" s="1">
        <v>5.1999999999999998E-3</v>
      </c>
      <c r="I3879" s="1">
        <v>4.8800000000000003E-2</v>
      </c>
    </row>
    <row r="3880" spans="1:9" x14ac:dyDescent="0.25">
      <c r="A3880" t="s">
        <v>203</v>
      </c>
      <c r="B3880" t="s">
        <v>229</v>
      </c>
      <c r="C3880">
        <v>347</v>
      </c>
      <c r="D3880" t="s">
        <v>200</v>
      </c>
      <c r="E3880">
        <v>2632</v>
      </c>
      <c r="F3880" s="1">
        <v>5.8299999999999998E-2</v>
      </c>
      <c r="G3880" s="1">
        <v>0.9032</v>
      </c>
      <c r="I3880" s="1">
        <v>3.85E-2</v>
      </c>
    </row>
    <row r="3881" spans="1:9" x14ac:dyDescent="0.25">
      <c r="A3881" t="s">
        <v>203</v>
      </c>
      <c r="B3881" t="s">
        <v>228</v>
      </c>
      <c r="C3881">
        <v>155</v>
      </c>
      <c r="D3881" t="s">
        <v>200</v>
      </c>
      <c r="E3881">
        <v>2632</v>
      </c>
      <c r="F3881" s="1">
        <v>4.6399999999999997E-2</v>
      </c>
      <c r="G3881" s="1">
        <v>0.93230000000000002</v>
      </c>
      <c r="I3881" s="1">
        <v>2.1399999999999999E-2</v>
      </c>
    </row>
    <row r="3882" spans="1:9" x14ac:dyDescent="0.25">
      <c r="A3882" t="s">
        <v>203</v>
      </c>
      <c r="B3882" t="s">
        <v>229</v>
      </c>
      <c r="C3882">
        <v>137</v>
      </c>
      <c r="D3882" t="s">
        <v>201</v>
      </c>
      <c r="E3882">
        <v>2632</v>
      </c>
      <c r="F3882" s="1">
        <v>0.1431</v>
      </c>
      <c r="G3882" s="1">
        <v>0.8508</v>
      </c>
      <c r="I3882" s="1">
        <v>6.1000000000000004E-3</v>
      </c>
    </row>
    <row r="3883" spans="1:9" x14ac:dyDescent="0.25">
      <c r="A3883" t="s">
        <v>203</v>
      </c>
      <c r="B3883" t="s">
        <v>228</v>
      </c>
      <c r="C3883">
        <v>177</v>
      </c>
      <c r="D3883" t="s">
        <v>201</v>
      </c>
      <c r="E3883">
        <v>2632</v>
      </c>
      <c r="F3883" s="1">
        <v>0.20799999999999999</v>
      </c>
      <c r="G3883" s="1">
        <v>0.77759999999999996</v>
      </c>
      <c r="I3883" s="1">
        <v>1.44E-2</v>
      </c>
    </row>
    <row r="3884" spans="1:9" x14ac:dyDescent="0.25">
      <c r="A3884" t="s">
        <v>203</v>
      </c>
      <c r="B3884" t="s">
        <v>228</v>
      </c>
      <c r="C3884">
        <v>34</v>
      </c>
      <c r="D3884" t="s">
        <v>202</v>
      </c>
      <c r="E3884">
        <v>2632</v>
      </c>
      <c r="G3884" s="1">
        <v>0.98680000000000001</v>
      </c>
      <c r="I3884" s="1">
        <v>1.32E-2</v>
      </c>
    </row>
    <row r="3885" spans="1:9" x14ac:dyDescent="0.25">
      <c r="A3885" t="s">
        <v>203</v>
      </c>
      <c r="B3885" t="s">
        <v>229</v>
      </c>
      <c r="C3885">
        <v>56</v>
      </c>
      <c r="D3885" t="s">
        <v>202</v>
      </c>
      <c r="E3885">
        <v>2632</v>
      </c>
      <c r="F3885" s="1">
        <v>1.9E-2</v>
      </c>
      <c r="G3885" s="1">
        <v>0.93520000000000003</v>
      </c>
      <c r="I3885" s="1">
        <v>4.58E-2</v>
      </c>
    </row>
    <row r="3886" spans="1:9" x14ac:dyDescent="0.25">
      <c r="A3886" t="s">
        <v>204</v>
      </c>
      <c r="B3886" t="s">
        <v>204</v>
      </c>
      <c r="C3886">
        <v>2632</v>
      </c>
      <c r="D3886" t="s">
        <v>204</v>
      </c>
      <c r="E3886">
        <v>2632</v>
      </c>
      <c r="F3886" s="1">
        <v>0.191</v>
      </c>
      <c r="G3886" s="1">
        <v>0.72550000000000003</v>
      </c>
      <c r="H3886" s="1">
        <v>2E-3</v>
      </c>
      <c r="I3886" s="1">
        <v>8.14E-2</v>
      </c>
    </row>
    <row r="3888" spans="1:9" x14ac:dyDescent="0.25">
      <c r="A3888" t="s">
        <v>923</v>
      </c>
    </row>
    <row r="3889" spans="1:9" x14ac:dyDescent="0.25">
      <c r="A3889" t="s">
        <v>190</v>
      </c>
      <c r="B3889" t="s">
        <v>206</v>
      </c>
      <c r="C3889" t="s">
        <v>195</v>
      </c>
      <c r="D3889" t="s">
        <v>189</v>
      </c>
      <c r="E3889" t="s">
        <v>196</v>
      </c>
      <c r="F3889" t="s">
        <v>220</v>
      </c>
      <c r="G3889" t="s">
        <v>207</v>
      </c>
      <c r="H3889" t="s">
        <v>215</v>
      </c>
      <c r="I3889" t="s">
        <v>208</v>
      </c>
    </row>
    <row r="3890" spans="1:9" x14ac:dyDescent="0.25">
      <c r="A3890" t="s">
        <v>198</v>
      </c>
      <c r="B3890" t="s">
        <v>348</v>
      </c>
      <c r="C3890">
        <v>79</v>
      </c>
      <c r="D3890" t="s">
        <v>197</v>
      </c>
      <c r="E3890">
        <v>2632</v>
      </c>
      <c r="F3890" s="1">
        <v>0.32419999999999999</v>
      </c>
      <c r="G3890" s="1">
        <v>0.5524</v>
      </c>
      <c r="I3890" s="1">
        <v>0.12330000000000001</v>
      </c>
    </row>
    <row r="3891" spans="1:9" s="29" customFormat="1" x14ac:dyDescent="0.25">
      <c r="A3891" s="29" t="s">
        <v>198</v>
      </c>
      <c r="B3891" s="29" t="s">
        <v>349</v>
      </c>
      <c r="C3891" s="29">
        <v>3</v>
      </c>
      <c r="D3891" s="29" t="s">
        <v>197</v>
      </c>
      <c r="E3891" s="29">
        <v>2632</v>
      </c>
      <c r="G3891" s="30">
        <v>0.66669999999999996</v>
      </c>
      <c r="I3891" s="30">
        <v>0.33329999999999999</v>
      </c>
    </row>
    <row r="3892" spans="1:9" x14ac:dyDescent="0.25">
      <c r="A3892" t="s">
        <v>198</v>
      </c>
      <c r="B3892" t="s">
        <v>348</v>
      </c>
      <c r="C3892">
        <v>54</v>
      </c>
      <c r="D3892" t="s">
        <v>199</v>
      </c>
      <c r="E3892">
        <v>2632</v>
      </c>
      <c r="F3892" s="1">
        <v>0.27950000000000003</v>
      </c>
      <c r="G3892" s="1">
        <v>0.7167</v>
      </c>
      <c r="I3892" s="1">
        <v>3.8E-3</v>
      </c>
    </row>
    <row r="3893" spans="1:9" x14ac:dyDescent="0.25">
      <c r="A3893" t="s">
        <v>198</v>
      </c>
      <c r="B3893" t="s">
        <v>349</v>
      </c>
      <c r="C3893">
        <v>111</v>
      </c>
      <c r="D3893" t="s">
        <v>199</v>
      </c>
      <c r="E3893">
        <v>2632</v>
      </c>
      <c r="F3893" s="1">
        <v>0.39129999999999998</v>
      </c>
      <c r="G3893" s="1">
        <v>0.4884</v>
      </c>
      <c r="I3893" s="1">
        <v>0.1203</v>
      </c>
    </row>
    <row r="3894" spans="1:9" x14ac:dyDescent="0.25">
      <c r="A3894" t="s">
        <v>198</v>
      </c>
      <c r="B3894" t="s">
        <v>350</v>
      </c>
      <c r="C3894">
        <v>193</v>
      </c>
      <c r="D3894" t="s">
        <v>199</v>
      </c>
      <c r="E3894">
        <v>2632</v>
      </c>
      <c r="F3894" s="1">
        <v>0.37890000000000001</v>
      </c>
      <c r="G3894" s="1">
        <v>0.50360000000000005</v>
      </c>
      <c r="I3894" s="1">
        <v>0.11749999999999999</v>
      </c>
    </row>
    <row r="3895" spans="1:9" x14ac:dyDescent="0.25">
      <c r="A3895" t="s">
        <v>198</v>
      </c>
      <c r="B3895" t="s">
        <v>350</v>
      </c>
      <c r="C3895">
        <v>78</v>
      </c>
      <c r="D3895" t="s">
        <v>200</v>
      </c>
      <c r="E3895">
        <v>2632</v>
      </c>
      <c r="F3895" s="1">
        <v>0.16400000000000001</v>
      </c>
      <c r="G3895" s="1">
        <v>0.70309999999999995</v>
      </c>
      <c r="I3895" s="1">
        <v>0.13289999999999999</v>
      </c>
    </row>
    <row r="3896" spans="1:9" x14ac:dyDescent="0.25">
      <c r="A3896" t="s">
        <v>198</v>
      </c>
      <c r="B3896" t="s">
        <v>348</v>
      </c>
      <c r="C3896">
        <v>242</v>
      </c>
      <c r="D3896" t="s">
        <v>200</v>
      </c>
      <c r="E3896">
        <v>2632</v>
      </c>
      <c r="F3896" s="1">
        <v>0.30220000000000002</v>
      </c>
      <c r="G3896" s="1">
        <v>0.58079999999999998</v>
      </c>
      <c r="H3896" s="1">
        <v>7.3000000000000001E-3</v>
      </c>
      <c r="I3896" s="1">
        <v>0.10970000000000001</v>
      </c>
    </row>
    <row r="3897" spans="1:9" x14ac:dyDescent="0.25">
      <c r="A3897" t="s">
        <v>198</v>
      </c>
      <c r="B3897" t="s">
        <v>349</v>
      </c>
      <c r="C3897">
        <v>62</v>
      </c>
      <c r="D3897" t="s">
        <v>200</v>
      </c>
      <c r="E3897">
        <v>2632</v>
      </c>
      <c r="F3897" s="1">
        <v>0.12859999999999999</v>
      </c>
      <c r="G3897" s="1">
        <v>0.78720000000000001</v>
      </c>
      <c r="I3897" s="1">
        <v>8.4199999999999997E-2</v>
      </c>
    </row>
    <row r="3898" spans="1:9" x14ac:dyDescent="0.25">
      <c r="A3898" t="s">
        <v>198</v>
      </c>
      <c r="B3898" t="s">
        <v>349</v>
      </c>
      <c r="C3898">
        <v>125</v>
      </c>
      <c r="D3898" t="s">
        <v>201</v>
      </c>
      <c r="E3898">
        <v>2632</v>
      </c>
      <c r="F3898" s="1">
        <v>0.30709999999999998</v>
      </c>
      <c r="G3898" s="1">
        <v>0.60570000000000002</v>
      </c>
      <c r="I3898" s="1">
        <v>8.72E-2</v>
      </c>
    </row>
    <row r="3899" spans="1:9" x14ac:dyDescent="0.25">
      <c r="A3899" t="s">
        <v>198</v>
      </c>
      <c r="B3899" t="s">
        <v>350</v>
      </c>
      <c r="C3899">
        <v>63</v>
      </c>
      <c r="D3899" t="s">
        <v>201</v>
      </c>
      <c r="E3899">
        <v>2632</v>
      </c>
      <c r="F3899" s="1">
        <v>0.28160000000000002</v>
      </c>
      <c r="G3899" s="1">
        <v>0.57509999999999994</v>
      </c>
      <c r="I3899" s="1">
        <v>0.14330000000000001</v>
      </c>
    </row>
    <row r="3900" spans="1:9" x14ac:dyDescent="0.25">
      <c r="A3900" t="s">
        <v>198</v>
      </c>
      <c r="B3900" t="s">
        <v>348</v>
      </c>
      <c r="C3900">
        <v>62</v>
      </c>
      <c r="D3900" t="s">
        <v>201</v>
      </c>
      <c r="E3900">
        <v>2632</v>
      </c>
      <c r="F3900" s="1">
        <v>0.16520000000000001</v>
      </c>
      <c r="G3900" s="1">
        <v>0.7742</v>
      </c>
      <c r="I3900" s="1">
        <v>6.0600000000000001E-2</v>
      </c>
    </row>
    <row r="3901" spans="1:9" x14ac:dyDescent="0.25">
      <c r="A3901" t="s">
        <v>198</v>
      </c>
      <c r="B3901" t="s">
        <v>348</v>
      </c>
      <c r="C3901">
        <v>96</v>
      </c>
      <c r="D3901" t="s">
        <v>202</v>
      </c>
      <c r="E3901">
        <v>2632</v>
      </c>
      <c r="F3901" s="1">
        <v>0.2964</v>
      </c>
      <c r="G3901" s="1">
        <v>0.55920000000000003</v>
      </c>
      <c r="I3901" s="1">
        <v>0.1444</v>
      </c>
    </row>
    <row r="3902" spans="1:9" x14ac:dyDescent="0.25">
      <c r="A3902" t="s">
        <v>203</v>
      </c>
      <c r="B3902" t="s">
        <v>349</v>
      </c>
      <c r="C3902">
        <v>171</v>
      </c>
      <c r="D3902" t="s">
        <v>199</v>
      </c>
      <c r="E3902">
        <v>2632</v>
      </c>
      <c r="F3902" s="1">
        <v>5.9700000000000003E-2</v>
      </c>
      <c r="G3902" s="1">
        <v>0.89710000000000001</v>
      </c>
      <c r="H3902" s="1">
        <v>2.6200000000000001E-2</v>
      </c>
      <c r="I3902" s="1">
        <v>1.7000000000000001E-2</v>
      </c>
    </row>
    <row r="3903" spans="1:9" x14ac:dyDescent="0.25">
      <c r="A3903" t="s">
        <v>203</v>
      </c>
      <c r="B3903" t="s">
        <v>348</v>
      </c>
      <c r="C3903">
        <v>42</v>
      </c>
      <c r="D3903" t="s">
        <v>199</v>
      </c>
      <c r="E3903">
        <v>2632</v>
      </c>
      <c r="F3903" s="1">
        <v>6.6699999999999995E-2</v>
      </c>
      <c r="G3903" s="1">
        <v>0.91830000000000001</v>
      </c>
      <c r="I3903" s="1">
        <v>1.4999999999999999E-2</v>
      </c>
    </row>
    <row r="3904" spans="1:9" x14ac:dyDescent="0.25">
      <c r="A3904" t="s">
        <v>203</v>
      </c>
      <c r="B3904" t="s">
        <v>350</v>
      </c>
      <c r="C3904">
        <v>306</v>
      </c>
      <c r="D3904" t="s">
        <v>199</v>
      </c>
      <c r="E3904">
        <v>2632</v>
      </c>
      <c r="F3904" s="1">
        <v>0.22140000000000001</v>
      </c>
      <c r="G3904" s="1">
        <v>0.59809999999999997</v>
      </c>
      <c r="H3904" s="1">
        <v>1.6999999999999999E-3</v>
      </c>
      <c r="I3904" s="1">
        <v>0.17879999999999999</v>
      </c>
    </row>
    <row r="3905" spans="1:17" x14ac:dyDescent="0.25">
      <c r="A3905" t="s">
        <v>203</v>
      </c>
      <c r="B3905" t="s">
        <v>348</v>
      </c>
      <c r="C3905">
        <v>300</v>
      </c>
      <c r="D3905" t="s">
        <v>200</v>
      </c>
      <c r="E3905">
        <v>2632</v>
      </c>
      <c r="F3905" s="1">
        <v>5.0099999999999999E-2</v>
      </c>
      <c r="G3905" s="1">
        <v>0.9204</v>
      </c>
      <c r="I3905" s="1">
        <v>2.9499999999999998E-2</v>
      </c>
    </row>
    <row r="3906" spans="1:17" x14ac:dyDescent="0.25">
      <c r="A3906" t="s">
        <v>203</v>
      </c>
      <c r="B3906" t="s">
        <v>349</v>
      </c>
      <c r="C3906">
        <v>108</v>
      </c>
      <c r="D3906" t="s">
        <v>200</v>
      </c>
      <c r="E3906">
        <v>2632</v>
      </c>
      <c r="F3906" s="1">
        <v>9.0399999999999994E-2</v>
      </c>
      <c r="G3906" s="1">
        <v>0.88160000000000005</v>
      </c>
      <c r="I3906" s="1">
        <v>2.8000000000000001E-2</v>
      </c>
    </row>
    <row r="3907" spans="1:17" x14ac:dyDescent="0.25">
      <c r="A3907" t="s">
        <v>203</v>
      </c>
      <c r="B3907" t="s">
        <v>350</v>
      </c>
      <c r="C3907">
        <v>94</v>
      </c>
      <c r="D3907" t="s">
        <v>200</v>
      </c>
      <c r="E3907">
        <v>2632</v>
      </c>
      <c r="F3907" s="1">
        <v>0.13100000000000001</v>
      </c>
      <c r="G3907" s="1">
        <v>0.66469999999999996</v>
      </c>
      <c r="I3907" s="1">
        <v>0.20419999999999999</v>
      </c>
    </row>
    <row r="3908" spans="1:17" x14ac:dyDescent="0.25">
      <c r="A3908" t="s">
        <v>203</v>
      </c>
      <c r="B3908" t="s">
        <v>348</v>
      </c>
      <c r="C3908">
        <v>62</v>
      </c>
      <c r="D3908" t="s">
        <v>201</v>
      </c>
      <c r="E3908">
        <v>2632</v>
      </c>
      <c r="F3908" s="1">
        <v>0.1502</v>
      </c>
      <c r="G3908" s="1">
        <v>0.8498</v>
      </c>
    </row>
    <row r="3909" spans="1:17" x14ac:dyDescent="0.25">
      <c r="A3909" t="s">
        <v>203</v>
      </c>
      <c r="B3909" t="s">
        <v>349</v>
      </c>
      <c r="C3909">
        <v>147</v>
      </c>
      <c r="D3909" t="s">
        <v>201</v>
      </c>
      <c r="E3909">
        <v>2632</v>
      </c>
      <c r="F3909" s="1">
        <v>0.1605</v>
      </c>
      <c r="G3909" s="1">
        <v>0.8367</v>
      </c>
      <c r="I3909" s="1">
        <v>2.8E-3</v>
      </c>
    </row>
    <row r="3910" spans="1:17" x14ac:dyDescent="0.25">
      <c r="A3910" t="s">
        <v>203</v>
      </c>
      <c r="B3910" t="s">
        <v>350</v>
      </c>
      <c r="C3910">
        <v>105</v>
      </c>
      <c r="D3910" t="s">
        <v>201</v>
      </c>
      <c r="E3910">
        <v>2632</v>
      </c>
      <c r="F3910" s="1">
        <v>0.14940000000000001</v>
      </c>
      <c r="G3910" s="1">
        <v>0.76919999999999999</v>
      </c>
      <c r="I3910" s="1">
        <v>8.14E-2</v>
      </c>
    </row>
    <row r="3911" spans="1:17" x14ac:dyDescent="0.25">
      <c r="A3911" t="s">
        <v>203</v>
      </c>
      <c r="B3911" t="s">
        <v>348</v>
      </c>
      <c r="C3911">
        <v>90</v>
      </c>
      <c r="D3911" t="s">
        <v>202</v>
      </c>
      <c r="E3911">
        <v>2632</v>
      </c>
      <c r="F3911" s="1">
        <v>1.3599999999999999E-2</v>
      </c>
      <c r="G3911" s="1">
        <v>0.94979999999999998</v>
      </c>
      <c r="I3911" s="1">
        <v>3.6600000000000001E-2</v>
      </c>
    </row>
    <row r="3912" spans="1:17" x14ac:dyDescent="0.25">
      <c r="A3912" t="s">
        <v>204</v>
      </c>
      <c r="B3912" t="s">
        <v>204</v>
      </c>
      <c r="C3912">
        <v>2632</v>
      </c>
      <c r="D3912" t="s">
        <v>204</v>
      </c>
      <c r="E3912">
        <v>2632</v>
      </c>
      <c r="F3912" s="1">
        <v>0.191</v>
      </c>
      <c r="G3912" s="1">
        <v>0.72550000000000003</v>
      </c>
      <c r="H3912" s="1">
        <v>2E-3</v>
      </c>
      <c r="I3912" s="1">
        <v>8.14E-2</v>
      </c>
    </row>
    <row r="3914" spans="1:17" x14ac:dyDescent="0.25">
      <c r="A3914" t="s">
        <v>924</v>
      </c>
    </row>
    <row r="3915" spans="1:17" x14ac:dyDescent="0.25">
      <c r="A3915" t="s">
        <v>190</v>
      </c>
      <c r="B3915" t="s">
        <v>195</v>
      </c>
      <c r="C3915" t="s">
        <v>189</v>
      </c>
      <c r="D3915" t="s">
        <v>196</v>
      </c>
      <c r="E3915" t="s">
        <v>220</v>
      </c>
      <c r="F3915" t="s">
        <v>925</v>
      </c>
      <c r="G3915" t="s">
        <v>926</v>
      </c>
      <c r="H3915" t="s">
        <v>927</v>
      </c>
      <c r="I3915" t="s">
        <v>928</v>
      </c>
      <c r="J3915" t="s">
        <v>929</v>
      </c>
      <c r="K3915" t="s">
        <v>930</v>
      </c>
      <c r="L3915" t="s">
        <v>931</v>
      </c>
      <c r="M3915" t="s">
        <v>271</v>
      </c>
      <c r="N3915" t="s">
        <v>235</v>
      </c>
      <c r="O3915" t="s">
        <v>215</v>
      </c>
      <c r="P3915" t="s">
        <v>932</v>
      </c>
      <c r="Q3915" t="s">
        <v>933</v>
      </c>
    </row>
    <row r="3916" spans="1:17" x14ac:dyDescent="0.25">
      <c r="A3916" t="s">
        <v>198</v>
      </c>
      <c r="B3916">
        <v>81</v>
      </c>
      <c r="C3916" t="s">
        <v>197</v>
      </c>
      <c r="D3916">
        <v>2615</v>
      </c>
      <c r="F3916" s="1">
        <v>0.1532</v>
      </c>
      <c r="H3916" s="1">
        <v>7.6E-3</v>
      </c>
      <c r="I3916" s="1">
        <v>4.1399999999999999E-2</v>
      </c>
      <c r="J3916" s="1">
        <v>0.1318</v>
      </c>
      <c r="K3916" s="1">
        <v>9.0700000000000003E-2</v>
      </c>
      <c r="L3916" s="1">
        <v>6.8000000000000005E-2</v>
      </c>
      <c r="M3916" s="1">
        <v>0.71819999999999995</v>
      </c>
      <c r="N3916" s="1">
        <v>2.63E-2</v>
      </c>
      <c r="P3916" s="1">
        <v>1.12E-2</v>
      </c>
      <c r="Q3916" s="1">
        <v>7.6E-3</v>
      </c>
    </row>
    <row r="3917" spans="1:17" x14ac:dyDescent="0.25">
      <c r="A3917" t="s">
        <v>198</v>
      </c>
      <c r="B3917">
        <v>365</v>
      </c>
      <c r="C3917" t="s">
        <v>199</v>
      </c>
      <c r="D3917">
        <v>2615</v>
      </c>
      <c r="E3917" s="1">
        <v>4.0000000000000002E-4</v>
      </c>
      <c r="F3917" s="1">
        <v>5.2400000000000002E-2</v>
      </c>
      <c r="G3917" s="1">
        <v>1.8200000000000001E-2</v>
      </c>
      <c r="H3917" s="1">
        <v>5.9299999999999999E-2</v>
      </c>
      <c r="I3917" s="1">
        <v>3.1800000000000002E-2</v>
      </c>
      <c r="J3917" s="1">
        <v>4.4699999999999997E-2</v>
      </c>
      <c r="K3917" s="1">
        <v>4.7100000000000003E-2</v>
      </c>
      <c r="L3917" s="1">
        <v>3.4599999999999999E-2</v>
      </c>
      <c r="M3917" s="1">
        <v>0.75929999999999997</v>
      </c>
      <c r="N3917" s="1">
        <v>1.66E-2</v>
      </c>
      <c r="P3917" s="1">
        <v>2E-3</v>
      </c>
      <c r="Q3917" s="1">
        <v>2.9999999999999997E-4</v>
      </c>
    </row>
    <row r="3918" spans="1:17" x14ac:dyDescent="0.25">
      <c r="A3918" t="s">
        <v>198</v>
      </c>
      <c r="B3918">
        <v>386</v>
      </c>
      <c r="C3918" t="s">
        <v>200</v>
      </c>
      <c r="D3918">
        <v>2615</v>
      </c>
      <c r="E3918" s="1">
        <v>5.5999999999999999E-3</v>
      </c>
      <c r="F3918" s="1">
        <v>5.62E-2</v>
      </c>
      <c r="G3918" s="1">
        <v>8.6E-3</v>
      </c>
      <c r="I3918" s="1">
        <v>0.02</v>
      </c>
      <c r="J3918" s="1">
        <v>5.6599999999999998E-2</v>
      </c>
      <c r="K3918" s="1">
        <v>4.53E-2</v>
      </c>
      <c r="L3918" s="1">
        <v>2.8000000000000001E-2</v>
      </c>
      <c r="M3918" s="1">
        <v>0.82989999999999997</v>
      </c>
      <c r="N3918" s="1">
        <v>2.8000000000000001E-2</v>
      </c>
      <c r="P3918" s="1">
        <v>6.1000000000000004E-3</v>
      </c>
      <c r="Q3918" s="1">
        <v>2.0000000000000001E-4</v>
      </c>
    </row>
    <row r="3919" spans="1:17" x14ac:dyDescent="0.25">
      <c r="A3919" t="s">
        <v>198</v>
      </c>
      <c r="B3919">
        <v>254</v>
      </c>
      <c r="C3919" t="s">
        <v>201</v>
      </c>
      <c r="D3919">
        <v>2615</v>
      </c>
      <c r="E3919" s="1">
        <v>1.4800000000000001E-2</v>
      </c>
      <c r="F3919" s="1">
        <v>8.6099999999999996E-2</v>
      </c>
      <c r="G3919" s="1">
        <v>3.8999999999999998E-3</v>
      </c>
      <c r="H3919" s="1">
        <v>2.1600000000000001E-2</v>
      </c>
      <c r="I3919" s="1">
        <v>3.2000000000000001E-2</v>
      </c>
      <c r="J3919" s="1">
        <v>8.48E-2</v>
      </c>
      <c r="K3919" s="1">
        <v>6.8699999999999997E-2</v>
      </c>
      <c r="L3919" s="1">
        <v>3.1899999999999998E-2</v>
      </c>
      <c r="M3919" s="1">
        <v>0.76859999999999995</v>
      </c>
      <c r="N3919" s="1">
        <v>4.2299999999999997E-2</v>
      </c>
      <c r="P3919" s="1">
        <v>1.9800000000000002E-2</v>
      </c>
    </row>
    <row r="3920" spans="1:17" x14ac:dyDescent="0.25">
      <c r="A3920" t="s">
        <v>198</v>
      </c>
      <c r="B3920">
        <v>96</v>
      </c>
      <c r="C3920" t="s">
        <v>202</v>
      </c>
      <c r="D3920">
        <v>2615</v>
      </c>
      <c r="E3920" s="1">
        <v>2.5000000000000001E-3</v>
      </c>
      <c r="F3920" s="1">
        <v>6.3700000000000007E-2</v>
      </c>
      <c r="G3920" s="1">
        <v>8.0000000000000002E-3</v>
      </c>
      <c r="H3920" s="1">
        <v>0.02</v>
      </c>
      <c r="I3920" s="1">
        <v>8.0600000000000005E-2</v>
      </c>
      <c r="J3920" s="1">
        <v>7.7299999999999994E-2</v>
      </c>
      <c r="K3920" s="1">
        <v>3.1399999999999997E-2</v>
      </c>
      <c r="L3920" s="1">
        <v>6.2899999999999998E-2</v>
      </c>
      <c r="M3920" s="1">
        <v>0.77739999999999998</v>
      </c>
      <c r="N3920" s="1">
        <v>4.7600000000000003E-2</v>
      </c>
      <c r="Q3920" s="1">
        <v>2.6700000000000002E-2</v>
      </c>
    </row>
    <row r="3921" spans="1:18" x14ac:dyDescent="0.25">
      <c r="A3921" t="s">
        <v>203</v>
      </c>
      <c r="B3921">
        <v>526</v>
      </c>
      <c r="C3921" t="s">
        <v>199</v>
      </c>
      <c r="D3921">
        <v>2615</v>
      </c>
      <c r="E3921" s="1">
        <v>1.6999999999999999E-3</v>
      </c>
      <c r="F3921" s="1">
        <v>4.9599999999999998E-2</v>
      </c>
      <c r="G3921" s="1">
        <v>3.3E-3</v>
      </c>
      <c r="H3921" s="1">
        <v>2.24E-2</v>
      </c>
      <c r="I3921" s="1">
        <v>5.4999999999999997E-3</v>
      </c>
      <c r="J3921" s="1">
        <v>2.2100000000000002E-2</v>
      </c>
      <c r="K3921" s="1">
        <v>3.1E-2</v>
      </c>
      <c r="L3921" s="1">
        <v>2.1399999999999999E-2</v>
      </c>
      <c r="M3921" s="1">
        <v>0.83860000000000001</v>
      </c>
      <c r="N3921" s="1">
        <v>3.0700000000000002E-2</v>
      </c>
      <c r="O3921" s="1">
        <v>1.1000000000000001E-3</v>
      </c>
    </row>
    <row r="3922" spans="1:18" x14ac:dyDescent="0.25">
      <c r="A3922" t="s">
        <v>203</v>
      </c>
      <c r="B3922">
        <v>499</v>
      </c>
      <c r="C3922" t="s">
        <v>200</v>
      </c>
      <c r="D3922">
        <v>2615</v>
      </c>
      <c r="E3922" s="1">
        <v>2.5000000000000001E-3</v>
      </c>
      <c r="F3922" s="1">
        <v>4.5699999999999998E-2</v>
      </c>
      <c r="G3922" s="1">
        <v>6.8999999999999999E-3</v>
      </c>
      <c r="H3922" s="1">
        <v>1.41E-2</v>
      </c>
      <c r="I3922" s="1">
        <v>2.4E-2</v>
      </c>
      <c r="J3922" s="1">
        <v>3.39E-2</v>
      </c>
      <c r="K3922" s="1">
        <v>3.0800000000000001E-2</v>
      </c>
      <c r="L3922" s="1">
        <v>3.73E-2</v>
      </c>
      <c r="M3922" s="1">
        <v>0.87939999999999996</v>
      </c>
      <c r="N3922" s="1">
        <v>7.7999999999999996E-3</v>
      </c>
      <c r="P3922" s="1">
        <v>3.2000000000000002E-3</v>
      </c>
      <c r="Q3922" s="1">
        <v>2E-3</v>
      </c>
    </row>
    <row r="3923" spans="1:18" x14ac:dyDescent="0.25">
      <c r="A3923" t="s">
        <v>203</v>
      </c>
      <c r="B3923">
        <v>318</v>
      </c>
      <c r="C3923" t="s">
        <v>201</v>
      </c>
      <c r="D3923">
        <v>2615</v>
      </c>
      <c r="E3923" s="1">
        <v>7.4000000000000003E-3</v>
      </c>
      <c r="F3923" s="1">
        <v>2.81E-2</v>
      </c>
      <c r="G3923" s="1">
        <v>1.01E-2</v>
      </c>
      <c r="H3923" s="1">
        <v>4.0099999999999997E-2</v>
      </c>
      <c r="I3923" s="1">
        <v>1.2999999999999999E-2</v>
      </c>
      <c r="J3923" s="1">
        <v>7.3200000000000001E-2</v>
      </c>
      <c r="K3923" s="1">
        <v>9.9400000000000002E-2</v>
      </c>
      <c r="L3923" s="1">
        <v>2.3400000000000001E-2</v>
      </c>
      <c r="M3923" s="1">
        <v>0.79600000000000004</v>
      </c>
      <c r="N3923" s="1">
        <v>4.1000000000000003E-3</v>
      </c>
      <c r="P3923" s="1">
        <v>4.1999999999999997E-3</v>
      </c>
      <c r="Q3923" s="1">
        <v>7.0000000000000001E-3</v>
      </c>
    </row>
    <row r="3924" spans="1:18" x14ac:dyDescent="0.25">
      <c r="A3924" t="s">
        <v>203</v>
      </c>
      <c r="B3924">
        <v>90</v>
      </c>
      <c r="C3924" t="s">
        <v>202</v>
      </c>
      <c r="D3924">
        <v>2615</v>
      </c>
      <c r="F3924" s="1">
        <v>3.09E-2</v>
      </c>
      <c r="G3924" s="1">
        <v>4.8999999999999998E-3</v>
      </c>
      <c r="H3924" s="1">
        <v>1.9599999999999999E-2</v>
      </c>
      <c r="I3924" s="1">
        <v>4.19E-2</v>
      </c>
      <c r="J3924" s="1">
        <v>6.0199999999999997E-2</v>
      </c>
      <c r="K3924" s="1">
        <v>2.3900000000000001E-2</v>
      </c>
      <c r="L3924" s="1">
        <v>4.7100000000000003E-2</v>
      </c>
      <c r="M3924" s="1">
        <v>0.88370000000000004</v>
      </c>
      <c r="N3924" s="1">
        <v>3.7000000000000002E-3</v>
      </c>
      <c r="Q3924" s="1">
        <v>4.8999999999999998E-3</v>
      </c>
    </row>
    <row r="3925" spans="1:18" x14ac:dyDescent="0.25">
      <c r="A3925" t="s">
        <v>204</v>
      </c>
      <c r="B3925">
        <v>2615</v>
      </c>
      <c r="C3925" t="s">
        <v>204</v>
      </c>
      <c r="D3925">
        <v>2615</v>
      </c>
      <c r="E3925" s="1">
        <v>3.0999999999999999E-3</v>
      </c>
      <c r="F3925" s="1">
        <v>5.7200000000000001E-2</v>
      </c>
      <c r="G3925" s="1">
        <v>7.6E-3</v>
      </c>
      <c r="H3925" s="1">
        <v>2.1299999999999999E-2</v>
      </c>
      <c r="I3925" s="1">
        <v>2.93E-2</v>
      </c>
      <c r="J3925" s="1">
        <v>5.28E-2</v>
      </c>
      <c r="K3925" s="1">
        <v>4.3799999999999999E-2</v>
      </c>
      <c r="L3925" s="1">
        <v>3.7600000000000001E-2</v>
      </c>
      <c r="M3925" s="1">
        <v>0.82320000000000004</v>
      </c>
      <c r="N3925" s="1">
        <v>2.06E-2</v>
      </c>
      <c r="O3925" s="1">
        <v>1E-4</v>
      </c>
      <c r="P3925" s="1">
        <v>3.8999999999999998E-3</v>
      </c>
      <c r="Q3925" s="1">
        <v>4.3E-3</v>
      </c>
    </row>
    <row r="3927" spans="1:18" x14ac:dyDescent="0.25">
      <c r="A3927" t="s">
        <v>934</v>
      </c>
    </row>
    <row r="3928" spans="1:18" x14ac:dyDescent="0.25">
      <c r="A3928" t="s">
        <v>190</v>
      </c>
      <c r="B3928" t="s">
        <v>206</v>
      </c>
      <c r="C3928" t="s">
        <v>195</v>
      </c>
      <c r="D3928" t="s">
        <v>189</v>
      </c>
      <c r="E3928" t="s">
        <v>196</v>
      </c>
      <c r="F3928" t="s">
        <v>220</v>
      </c>
      <c r="G3928" t="s">
        <v>925</v>
      </c>
      <c r="H3928" t="s">
        <v>926</v>
      </c>
      <c r="I3928" t="s">
        <v>927</v>
      </c>
      <c r="J3928" t="s">
        <v>928</v>
      </c>
      <c r="K3928" t="s">
        <v>929</v>
      </c>
      <c r="L3928" t="s">
        <v>930</v>
      </c>
      <c r="M3928" t="s">
        <v>931</v>
      </c>
      <c r="N3928" t="s">
        <v>271</v>
      </c>
      <c r="O3928" t="s">
        <v>235</v>
      </c>
      <c r="P3928" t="s">
        <v>215</v>
      </c>
      <c r="Q3928" t="s">
        <v>932</v>
      </c>
      <c r="R3928" t="s">
        <v>933</v>
      </c>
    </row>
    <row r="3929" spans="1:18" x14ac:dyDescent="0.25">
      <c r="A3929" t="s">
        <v>198</v>
      </c>
      <c r="B3929" t="s">
        <v>228</v>
      </c>
      <c r="C3929">
        <v>33</v>
      </c>
      <c r="D3929" t="s">
        <v>197</v>
      </c>
      <c r="E3929">
        <v>2615</v>
      </c>
      <c r="G3929" s="1">
        <v>0.1084</v>
      </c>
      <c r="J3929" s="1">
        <v>2.5600000000000001E-2</v>
      </c>
      <c r="K3929" s="1">
        <v>7.6700000000000004E-2</v>
      </c>
      <c r="L3929" s="1">
        <v>0.14749999999999999</v>
      </c>
      <c r="M3929" s="1">
        <v>4.9200000000000001E-2</v>
      </c>
      <c r="N3929" s="1">
        <v>0.71760000000000002</v>
      </c>
      <c r="O3929" s="1">
        <v>4.2900000000000001E-2</v>
      </c>
    </row>
    <row r="3930" spans="1:18" x14ac:dyDescent="0.25">
      <c r="A3930" t="s">
        <v>198</v>
      </c>
      <c r="B3930" t="s">
        <v>229</v>
      </c>
      <c r="C3930">
        <v>48</v>
      </c>
      <c r="D3930" t="s">
        <v>197</v>
      </c>
      <c r="E3930">
        <v>2615</v>
      </c>
      <c r="G3930" s="1">
        <v>0.18790000000000001</v>
      </c>
      <c r="I3930" s="1">
        <v>1.34E-2</v>
      </c>
      <c r="J3930" s="1">
        <v>5.3699999999999998E-2</v>
      </c>
      <c r="K3930" s="1">
        <v>0.17449999999999999</v>
      </c>
      <c r="L3930" s="1">
        <v>4.6699999999999998E-2</v>
      </c>
      <c r="M3930" s="1">
        <v>8.2600000000000007E-2</v>
      </c>
      <c r="N3930" s="1">
        <v>0.71870000000000001</v>
      </c>
      <c r="O3930" s="1">
        <v>1.34E-2</v>
      </c>
      <c r="Q3930" s="1">
        <v>1.9800000000000002E-2</v>
      </c>
      <c r="R3930" s="1">
        <v>1.34E-2</v>
      </c>
    </row>
    <row r="3931" spans="1:18" x14ac:dyDescent="0.25">
      <c r="A3931" t="s">
        <v>198</v>
      </c>
      <c r="B3931" t="s">
        <v>228</v>
      </c>
      <c r="C3931">
        <v>143</v>
      </c>
      <c r="D3931" t="s">
        <v>199</v>
      </c>
      <c r="E3931">
        <v>2615</v>
      </c>
      <c r="F3931" s="1">
        <v>1.6999999999999999E-3</v>
      </c>
      <c r="G3931" s="1">
        <v>4.2900000000000001E-2</v>
      </c>
      <c r="H3931" s="1">
        <v>2.3999999999999998E-3</v>
      </c>
      <c r="I3931" s="1">
        <v>1.78E-2</v>
      </c>
      <c r="J3931" s="1">
        <v>6.4899999999999999E-2</v>
      </c>
      <c r="K3931" s="1">
        <v>7.3700000000000002E-2</v>
      </c>
      <c r="L3931" s="1">
        <v>9.9299999999999999E-2</v>
      </c>
      <c r="M3931" s="1">
        <v>2.0199999999999999E-2</v>
      </c>
      <c r="N3931" s="1">
        <v>0.72650000000000003</v>
      </c>
      <c r="O3931" s="1">
        <v>4.7800000000000002E-2</v>
      </c>
    </row>
    <row r="3932" spans="1:18" x14ac:dyDescent="0.25">
      <c r="A3932" t="s">
        <v>198</v>
      </c>
      <c r="B3932" t="s">
        <v>229</v>
      </c>
      <c r="C3932">
        <v>212</v>
      </c>
      <c r="D3932" t="s">
        <v>199</v>
      </c>
      <c r="E3932">
        <v>2615</v>
      </c>
      <c r="G3932" s="1">
        <v>5.5800000000000002E-2</v>
      </c>
      <c r="H3932" s="1">
        <v>2.3900000000000001E-2</v>
      </c>
      <c r="I3932" s="1">
        <v>7.3899999999999993E-2</v>
      </c>
      <c r="J3932" s="1">
        <v>2.06E-2</v>
      </c>
      <c r="K3932" s="1">
        <v>3.5099999999999999E-2</v>
      </c>
      <c r="L3932" s="1">
        <v>2.9499999999999998E-2</v>
      </c>
      <c r="M3932" s="1">
        <v>0.04</v>
      </c>
      <c r="N3932" s="1">
        <v>0.76870000000000005</v>
      </c>
      <c r="O3932" s="1">
        <v>5.8999999999999999E-3</v>
      </c>
      <c r="Q3932" s="1">
        <v>2.7000000000000001E-3</v>
      </c>
      <c r="R3932" s="1">
        <v>4.0000000000000002E-4</v>
      </c>
    </row>
    <row r="3933" spans="1:18" x14ac:dyDescent="0.25">
      <c r="A3933" t="s">
        <v>198</v>
      </c>
      <c r="B3933" t="s">
        <v>229</v>
      </c>
      <c r="C3933">
        <v>270</v>
      </c>
      <c r="D3933" t="s">
        <v>200</v>
      </c>
      <c r="E3933">
        <v>2615</v>
      </c>
      <c r="F3933" s="1">
        <v>6.1000000000000004E-3</v>
      </c>
      <c r="G3933" s="1">
        <v>5.1400000000000001E-2</v>
      </c>
      <c r="H3933" s="1">
        <v>7.9000000000000008E-3</v>
      </c>
      <c r="J3933" s="1">
        <v>1.2E-2</v>
      </c>
      <c r="K3933" s="1">
        <v>4.3999999999999997E-2</v>
      </c>
      <c r="L3933" s="1">
        <v>2.1299999999999999E-2</v>
      </c>
      <c r="M3933" s="1">
        <v>2.2599999999999999E-2</v>
      </c>
      <c r="N3933" s="1">
        <v>0.85199999999999998</v>
      </c>
      <c r="O3933" s="1">
        <v>3.2899999999999999E-2</v>
      </c>
      <c r="Q3933" s="1">
        <v>7.1000000000000004E-3</v>
      </c>
      <c r="R3933" s="1">
        <v>2.9999999999999997E-4</v>
      </c>
    </row>
    <row r="3934" spans="1:18" x14ac:dyDescent="0.25">
      <c r="A3934" t="s">
        <v>198</v>
      </c>
      <c r="B3934" t="s">
        <v>228</v>
      </c>
      <c r="C3934">
        <v>111</v>
      </c>
      <c r="D3934" t="s">
        <v>200</v>
      </c>
      <c r="E3934">
        <v>2615</v>
      </c>
      <c r="F3934" s="1">
        <v>4.1999999999999997E-3</v>
      </c>
      <c r="G3934" s="1">
        <v>7.3099999999999998E-2</v>
      </c>
      <c r="H3934" s="1">
        <v>1.0999999999999999E-2</v>
      </c>
      <c r="J3934" s="1">
        <v>4.7100000000000003E-2</v>
      </c>
      <c r="K3934" s="1">
        <v>0.1003</v>
      </c>
      <c r="L3934" s="1">
        <v>0.12609999999999999</v>
      </c>
      <c r="M3934" s="1">
        <v>4.6699999999999998E-2</v>
      </c>
      <c r="N3934" s="1">
        <v>0.75260000000000005</v>
      </c>
      <c r="O3934" s="1">
        <v>1.2500000000000001E-2</v>
      </c>
      <c r="Q3934" s="1">
        <v>3.0000000000000001E-3</v>
      </c>
    </row>
    <row r="3935" spans="1:18" x14ac:dyDescent="0.25">
      <c r="A3935" t="s">
        <v>198</v>
      </c>
      <c r="B3935" t="s">
        <v>228</v>
      </c>
      <c r="C3935">
        <v>94</v>
      </c>
      <c r="D3935" t="s">
        <v>201</v>
      </c>
      <c r="E3935">
        <v>2615</v>
      </c>
      <c r="F3935" s="1">
        <v>2.5999999999999999E-2</v>
      </c>
      <c r="G3935" s="1">
        <v>0.1008</v>
      </c>
      <c r="H3935" s="1">
        <v>1.5E-3</v>
      </c>
      <c r="I3935" s="1">
        <v>4.2900000000000001E-2</v>
      </c>
      <c r="J3935" s="1">
        <v>2.3099999999999999E-2</v>
      </c>
      <c r="K3935" s="1">
        <v>9.8100000000000007E-2</v>
      </c>
      <c r="L3935" s="1">
        <v>9.3799999999999994E-2</v>
      </c>
      <c r="M3935" s="1">
        <v>6.4299999999999996E-2</v>
      </c>
      <c r="N3935" s="1">
        <v>0.71040000000000003</v>
      </c>
      <c r="Q3935" s="1">
        <v>7.7100000000000002E-2</v>
      </c>
    </row>
    <row r="3936" spans="1:18" x14ac:dyDescent="0.25">
      <c r="A3936" t="s">
        <v>198</v>
      </c>
      <c r="B3936" t="s">
        <v>229</v>
      </c>
      <c r="C3936">
        <v>155</v>
      </c>
      <c r="D3936" t="s">
        <v>201</v>
      </c>
      <c r="E3936">
        <v>2615</v>
      </c>
      <c r="F3936" s="1">
        <v>1.2E-2</v>
      </c>
      <c r="G3936" s="1">
        <v>8.3299999999999999E-2</v>
      </c>
      <c r="H3936" s="1">
        <v>4.5999999999999999E-3</v>
      </c>
      <c r="I3936" s="1">
        <v>1.61E-2</v>
      </c>
      <c r="J3936" s="1">
        <v>3.4799999999999998E-2</v>
      </c>
      <c r="K3936" s="1">
        <v>8.2400000000000001E-2</v>
      </c>
      <c r="L3936" s="1">
        <v>6.2899999999999998E-2</v>
      </c>
      <c r="M3936" s="1">
        <v>2.3599999999999999E-2</v>
      </c>
      <c r="N3936" s="1">
        <v>0.78120000000000001</v>
      </c>
      <c r="O3936" s="1">
        <v>5.4199999999999998E-2</v>
      </c>
      <c r="Q3936" s="1">
        <v>4.5999999999999999E-3</v>
      </c>
    </row>
    <row r="3937" spans="1:18" s="29" customFormat="1" x14ac:dyDescent="0.25">
      <c r="A3937" s="29" t="s">
        <v>198</v>
      </c>
      <c r="B3937" s="29" t="s">
        <v>228</v>
      </c>
      <c r="C3937" s="29">
        <v>28</v>
      </c>
      <c r="D3937" s="29" t="s">
        <v>202</v>
      </c>
      <c r="E3937" s="29">
        <v>2615</v>
      </c>
      <c r="F3937" s="30">
        <v>1.0699999999999999E-2</v>
      </c>
      <c r="G3937" s="30">
        <v>8.4699999999999998E-2</v>
      </c>
      <c r="H3937" s="30">
        <v>3.39E-2</v>
      </c>
      <c r="I3937" s="30">
        <v>8.4699999999999998E-2</v>
      </c>
      <c r="J3937" s="30">
        <v>0.2253</v>
      </c>
      <c r="K3937" s="30">
        <v>0.16830000000000001</v>
      </c>
      <c r="L3937" s="30">
        <v>6.83E-2</v>
      </c>
      <c r="M3937" s="30">
        <v>0.15310000000000001</v>
      </c>
      <c r="N3937" s="30">
        <v>0.66339999999999999</v>
      </c>
      <c r="R3937" s="30">
        <v>0.1022</v>
      </c>
    </row>
    <row r="3938" spans="1:18" x14ac:dyDescent="0.25">
      <c r="A3938" t="s">
        <v>198</v>
      </c>
      <c r="B3938" t="s">
        <v>229</v>
      </c>
      <c r="C3938">
        <v>68</v>
      </c>
      <c r="D3938" t="s">
        <v>202</v>
      </c>
      <c r="E3938">
        <v>2615</v>
      </c>
      <c r="G3938" s="1">
        <v>5.7200000000000001E-2</v>
      </c>
      <c r="J3938" s="1">
        <v>3.5799999999999998E-2</v>
      </c>
      <c r="K3938" s="1">
        <v>4.9200000000000001E-2</v>
      </c>
      <c r="L3938" s="1">
        <v>0.02</v>
      </c>
      <c r="M3938" s="1">
        <v>3.5000000000000003E-2</v>
      </c>
      <c r="N3938" s="1">
        <v>0.81269999999999998</v>
      </c>
      <c r="O3938" s="1">
        <v>6.2300000000000001E-2</v>
      </c>
      <c r="R3938" s="1">
        <v>3.3E-3</v>
      </c>
    </row>
    <row r="3939" spans="1:18" x14ac:dyDescent="0.25">
      <c r="A3939" t="s">
        <v>203</v>
      </c>
      <c r="B3939" t="s">
        <v>229</v>
      </c>
      <c r="C3939">
        <v>367</v>
      </c>
      <c r="D3939" t="s">
        <v>199</v>
      </c>
      <c r="E3939">
        <v>2615</v>
      </c>
      <c r="F3939" s="1">
        <v>1.2999999999999999E-3</v>
      </c>
      <c r="G3939" s="1">
        <v>4.2700000000000002E-2</v>
      </c>
      <c r="H3939" s="1">
        <v>1.6999999999999999E-3</v>
      </c>
      <c r="I3939" s="1">
        <v>1.0999999999999999E-2</v>
      </c>
      <c r="J3939" s="1">
        <v>5.1999999999999998E-3</v>
      </c>
      <c r="K3939" s="1">
        <v>2.3199999999999998E-2</v>
      </c>
      <c r="L3939" s="1">
        <v>3.1600000000000003E-2</v>
      </c>
      <c r="M3939" s="1">
        <v>2.3099999999999999E-2</v>
      </c>
      <c r="N3939" s="1">
        <v>0.84940000000000004</v>
      </c>
      <c r="O3939" s="1">
        <v>3.1899999999999998E-2</v>
      </c>
      <c r="P3939" s="1">
        <v>1E-3</v>
      </c>
    </row>
    <row r="3940" spans="1:18" x14ac:dyDescent="0.25">
      <c r="A3940" t="s">
        <v>203</v>
      </c>
      <c r="B3940" t="s">
        <v>228</v>
      </c>
      <c r="C3940">
        <v>149</v>
      </c>
      <c r="D3940" t="s">
        <v>199</v>
      </c>
      <c r="E3940">
        <v>2615</v>
      </c>
      <c r="F3940" s="1">
        <v>5.1999999999999998E-3</v>
      </c>
      <c r="G3940" s="1">
        <v>0.11020000000000001</v>
      </c>
      <c r="H3940" s="1">
        <v>1.7000000000000001E-2</v>
      </c>
      <c r="I3940" s="1">
        <v>0.1196</v>
      </c>
      <c r="J3940" s="1">
        <v>8.5000000000000006E-3</v>
      </c>
      <c r="K3940" s="1">
        <v>1.3299999999999999E-2</v>
      </c>
      <c r="L3940" s="1">
        <v>2.7199999999999998E-2</v>
      </c>
      <c r="M3940" s="1">
        <v>8.5000000000000006E-3</v>
      </c>
      <c r="N3940" s="1">
        <v>0.73980000000000001</v>
      </c>
      <c r="O3940" s="1">
        <v>2.1499999999999998E-2</v>
      </c>
      <c r="P3940" s="1">
        <v>2E-3</v>
      </c>
    </row>
    <row r="3941" spans="1:18" x14ac:dyDescent="0.25">
      <c r="A3941" t="s">
        <v>203</v>
      </c>
      <c r="B3941" t="s">
        <v>229</v>
      </c>
      <c r="C3941">
        <v>343</v>
      </c>
      <c r="D3941" t="s">
        <v>200</v>
      </c>
      <c r="E3941">
        <v>2615</v>
      </c>
      <c r="F3941" s="1">
        <v>1.5E-3</v>
      </c>
      <c r="G3941" s="1">
        <v>4.8300000000000003E-2</v>
      </c>
      <c r="H3941" s="1">
        <v>6.1000000000000004E-3</v>
      </c>
      <c r="I3941" s="1">
        <v>9.9000000000000008E-3</v>
      </c>
      <c r="J3941" s="1">
        <v>2.6800000000000001E-2</v>
      </c>
      <c r="K3941" s="1">
        <v>3.5000000000000003E-2</v>
      </c>
      <c r="L3941" s="1">
        <v>2.9399999999999999E-2</v>
      </c>
      <c r="M3941" s="1">
        <v>4.1300000000000003E-2</v>
      </c>
      <c r="N3941" s="1">
        <v>0.88400000000000001</v>
      </c>
      <c r="O3941" s="1">
        <v>3.5000000000000001E-3</v>
      </c>
      <c r="Q3941" s="1">
        <v>1.5E-3</v>
      </c>
    </row>
    <row r="3942" spans="1:18" x14ac:dyDescent="0.25">
      <c r="A3942" t="s">
        <v>203</v>
      </c>
      <c r="B3942" t="s">
        <v>228</v>
      </c>
      <c r="C3942">
        <v>155</v>
      </c>
      <c r="D3942" t="s">
        <v>200</v>
      </c>
      <c r="E3942">
        <v>2615</v>
      </c>
      <c r="F3942" s="1">
        <v>6.3E-3</v>
      </c>
      <c r="G3942" s="1">
        <v>3.49E-2</v>
      </c>
      <c r="H3942" s="1">
        <v>1.0200000000000001E-2</v>
      </c>
      <c r="I3942" s="1">
        <v>3.15E-2</v>
      </c>
      <c r="J3942" s="1">
        <v>1.23E-2</v>
      </c>
      <c r="K3942" s="1">
        <v>2.9499999999999998E-2</v>
      </c>
      <c r="L3942" s="1">
        <v>3.6600000000000001E-2</v>
      </c>
      <c r="M3942" s="1">
        <v>2.0400000000000001E-2</v>
      </c>
      <c r="N3942" s="1">
        <v>0.86040000000000005</v>
      </c>
      <c r="O3942" s="1">
        <v>2.5499999999999998E-2</v>
      </c>
      <c r="Q3942" s="1">
        <v>1.0200000000000001E-2</v>
      </c>
      <c r="R3942" s="1">
        <v>1.0200000000000001E-2</v>
      </c>
    </row>
    <row r="3943" spans="1:18" x14ac:dyDescent="0.25">
      <c r="A3943" t="s">
        <v>203</v>
      </c>
      <c r="B3943" t="s">
        <v>229</v>
      </c>
      <c r="C3943">
        <v>136</v>
      </c>
      <c r="D3943" t="s">
        <v>201</v>
      </c>
      <c r="E3943">
        <v>2615</v>
      </c>
      <c r="F3943" s="1">
        <v>9.1999999999999998E-3</v>
      </c>
      <c r="G3943" s="1">
        <v>2.46E-2</v>
      </c>
      <c r="H3943" s="1">
        <v>8.0000000000000002E-3</v>
      </c>
      <c r="I3943" s="1">
        <v>9.1999999999999998E-3</v>
      </c>
      <c r="J3943" s="1">
        <v>1.5E-3</v>
      </c>
      <c r="K3943" s="1">
        <v>6.08E-2</v>
      </c>
      <c r="L3943" s="1">
        <v>5.6300000000000003E-2</v>
      </c>
      <c r="M3943" s="1">
        <v>2.4199999999999999E-2</v>
      </c>
      <c r="N3943" s="1">
        <v>0.84260000000000002</v>
      </c>
      <c r="O3943" s="1">
        <v>2.3E-3</v>
      </c>
      <c r="Q3943" s="1">
        <v>4.0000000000000001E-3</v>
      </c>
    </row>
    <row r="3944" spans="1:18" x14ac:dyDescent="0.25">
      <c r="A3944" t="s">
        <v>203</v>
      </c>
      <c r="B3944" t="s">
        <v>228</v>
      </c>
      <c r="C3944">
        <v>175</v>
      </c>
      <c r="D3944" t="s">
        <v>201</v>
      </c>
      <c r="E3944">
        <v>2615</v>
      </c>
      <c r="F3944" s="1">
        <v>1.6000000000000001E-3</v>
      </c>
      <c r="G3944" s="1">
        <v>3.9300000000000002E-2</v>
      </c>
      <c r="H3944" s="1">
        <v>1.67E-2</v>
      </c>
      <c r="I3944" s="1">
        <v>0.1389</v>
      </c>
      <c r="J3944" s="1">
        <v>4.9799999999999997E-2</v>
      </c>
      <c r="K3944" s="1">
        <v>0.1133</v>
      </c>
      <c r="L3944" s="1">
        <v>0.23760000000000001</v>
      </c>
      <c r="M3944" s="1">
        <v>2.1100000000000001E-2</v>
      </c>
      <c r="N3944" s="1">
        <v>0.64670000000000005</v>
      </c>
      <c r="O3944" s="1">
        <v>8.9999999999999993E-3</v>
      </c>
      <c r="Q3944" s="1">
        <v>4.8999999999999998E-3</v>
      </c>
      <c r="R3944" s="1">
        <v>2.92E-2</v>
      </c>
    </row>
    <row r="3945" spans="1:18" x14ac:dyDescent="0.25">
      <c r="A3945" t="s">
        <v>203</v>
      </c>
      <c r="B3945" t="s">
        <v>228</v>
      </c>
      <c r="C3945">
        <v>34</v>
      </c>
      <c r="D3945" t="s">
        <v>202</v>
      </c>
      <c r="E3945">
        <v>2615</v>
      </c>
      <c r="G3945" s="1">
        <v>4.3900000000000002E-2</v>
      </c>
      <c r="I3945" s="1">
        <v>1.7500000000000002E-2</v>
      </c>
      <c r="J3945" s="1">
        <v>1.7500000000000002E-2</v>
      </c>
      <c r="K3945" s="1">
        <v>4.3900000000000002E-2</v>
      </c>
      <c r="L3945" s="1">
        <v>6.6900000000000001E-2</v>
      </c>
      <c r="M3945" s="1">
        <v>3.6200000000000003E-2</v>
      </c>
      <c r="N3945" s="1">
        <v>0.85729999999999995</v>
      </c>
      <c r="O3945" s="1">
        <v>1.32E-2</v>
      </c>
    </row>
    <row r="3946" spans="1:18" x14ac:dyDescent="0.25">
      <c r="A3946" t="s">
        <v>203</v>
      </c>
      <c r="B3946" t="s">
        <v>229</v>
      </c>
      <c r="C3946">
        <v>56</v>
      </c>
      <c r="D3946" t="s">
        <v>202</v>
      </c>
      <c r="E3946">
        <v>2615</v>
      </c>
      <c r="G3946" s="1">
        <v>2.58E-2</v>
      </c>
      <c r="H3946" s="1">
        <v>6.8999999999999999E-3</v>
      </c>
      <c r="I3946" s="1">
        <v>2.0500000000000001E-2</v>
      </c>
      <c r="J3946" s="1">
        <v>5.1499999999999997E-2</v>
      </c>
      <c r="K3946" s="1">
        <v>6.6699999999999995E-2</v>
      </c>
      <c r="L3946" s="1">
        <v>6.8999999999999999E-3</v>
      </c>
      <c r="M3946" s="1">
        <v>5.1400000000000001E-2</v>
      </c>
      <c r="N3946" s="1">
        <v>0.89410000000000001</v>
      </c>
      <c r="R3946" s="1">
        <v>6.8999999999999999E-3</v>
      </c>
    </row>
    <row r="3947" spans="1:18" x14ac:dyDescent="0.25">
      <c r="A3947" t="s">
        <v>204</v>
      </c>
      <c r="B3947" t="s">
        <v>204</v>
      </c>
      <c r="C3947">
        <v>2615</v>
      </c>
      <c r="D3947" t="s">
        <v>204</v>
      </c>
      <c r="E3947">
        <v>2615</v>
      </c>
      <c r="F3947" s="1">
        <v>3.0999999999999999E-3</v>
      </c>
      <c r="G3947" s="1">
        <v>5.7200000000000001E-2</v>
      </c>
      <c r="H3947" s="1">
        <v>7.6E-3</v>
      </c>
      <c r="I3947" s="1">
        <v>2.1299999999999999E-2</v>
      </c>
      <c r="J3947" s="1">
        <v>2.93E-2</v>
      </c>
      <c r="K3947" s="1">
        <v>5.28E-2</v>
      </c>
      <c r="L3947" s="1">
        <v>4.3799999999999999E-2</v>
      </c>
      <c r="M3947" s="1">
        <v>3.7600000000000001E-2</v>
      </c>
      <c r="N3947" s="1">
        <v>0.82320000000000004</v>
      </c>
      <c r="O3947" s="1">
        <v>2.06E-2</v>
      </c>
      <c r="P3947" s="1">
        <v>1E-4</v>
      </c>
      <c r="Q3947" s="1">
        <v>3.8999999999999998E-3</v>
      </c>
      <c r="R3947" s="1">
        <v>4.3E-3</v>
      </c>
    </row>
    <row r="3949" spans="1:18" x14ac:dyDescent="0.25">
      <c r="A3949" t="s">
        <v>935</v>
      </c>
    </row>
    <row r="3950" spans="1:18" x14ac:dyDescent="0.25">
      <c r="A3950" t="s">
        <v>190</v>
      </c>
      <c r="B3950" t="s">
        <v>206</v>
      </c>
      <c r="C3950" t="s">
        <v>195</v>
      </c>
      <c r="D3950" t="s">
        <v>189</v>
      </c>
      <c r="E3950" t="s">
        <v>196</v>
      </c>
      <c r="F3950" t="s">
        <v>220</v>
      </c>
      <c r="G3950" t="s">
        <v>925</v>
      </c>
      <c r="H3950" t="s">
        <v>926</v>
      </c>
      <c r="I3950" t="s">
        <v>927</v>
      </c>
      <c r="J3950" t="s">
        <v>928</v>
      </c>
      <c r="K3950" t="s">
        <v>929</v>
      </c>
      <c r="L3950" t="s">
        <v>930</v>
      </c>
      <c r="M3950" t="s">
        <v>931</v>
      </c>
      <c r="N3950" t="s">
        <v>271</v>
      </c>
      <c r="O3950" t="s">
        <v>235</v>
      </c>
      <c r="P3950" t="s">
        <v>215</v>
      </c>
      <c r="Q3950" t="s">
        <v>932</v>
      </c>
      <c r="R3950" t="s">
        <v>933</v>
      </c>
    </row>
    <row r="3951" spans="1:18" x14ac:dyDescent="0.25">
      <c r="A3951" t="s">
        <v>198</v>
      </c>
      <c r="B3951" t="s">
        <v>348</v>
      </c>
      <c r="C3951">
        <v>78</v>
      </c>
      <c r="D3951" t="s">
        <v>197</v>
      </c>
      <c r="E3951">
        <v>2615</v>
      </c>
      <c r="G3951" s="1">
        <v>0.1469</v>
      </c>
      <c r="I3951" s="1">
        <v>7.7999999999999996E-3</v>
      </c>
      <c r="J3951" s="1">
        <v>3.1300000000000001E-2</v>
      </c>
      <c r="K3951" s="1">
        <v>0.1132</v>
      </c>
      <c r="L3951" s="1">
        <v>8.2299999999999998E-2</v>
      </c>
      <c r="M3951" s="1">
        <v>7.0400000000000004E-2</v>
      </c>
      <c r="N3951" s="1">
        <v>0.74309999999999998</v>
      </c>
      <c r="O3951" s="1">
        <v>2.7199999999999998E-2</v>
      </c>
      <c r="Q3951" s="1">
        <v>1.15E-2</v>
      </c>
      <c r="R3951" s="1">
        <v>7.7999999999999996E-3</v>
      </c>
    </row>
    <row r="3952" spans="1:18" s="29" customFormat="1" x14ac:dyDescent="0.25">
      <c r="A3952" s="29" t="s">
        <v>198</v>
      </c>
      <c r="B3952" s="29" t="s">
        <v>349</v>
      </c>
      <c r="C3952" s="29">
        <v>3</v>
      </c>
      <c r="D3952" s="29" t="s">
        <v>197</v>
      </c>
      <c r="E3952" s="29">
        <v>2615</v>
      </c>
      <c r="G3952" s="30">
        <v>0.33329999999999999</v>
      </c>
      <c r="J3952" s="30">
        <v>0.33329999999999999</v>
      </c>
      <c r="K3952" s="30">
        <v>0.66669999999999996</v>
      </c>
      <c r="L3952" s="30">
        <v>0.33329999999999999</v>
      </c>
    </row>
    <row r="3953" spans="1:18" x14ac:dyDescent="0.25">
      <c r="A3953" t="s">
        <v>198</v>
      </c>
      <c r="B3953" t="s">
        <v>348</v>
      </c>
      <c r="C3953">
        <v>54</v>
      </c>
      <c r="D3953" t="s">
        <v>199</v>
      </c>
      <c r="E3953">
        <v>2615</v>
      </c>
      <c r="G3953" s="1">
        <v>6.1699999999999998E-2</v>
      </c>
      <c r="H3953" s="1">
        <v>1.09E-2</v>
      </c>
      <c r="I3953" s="1">
        <v>7.5200000000000003E-2</v>
      </c>
      <c r="J3953" s="1">
        <v>5.3199999999999997E-2</v>
      </c>
      <c r="K3953" s="1">
        <v>0.17249999999999999</v>
      </c>
      <c r="L3953" s="1">
        <v>5.6800000000000003E-2</v>
      </c>
      <c r="M3953" s="1">
        <v>4.02E-2</v>
      </c>
      <c r="N3953" s="1">
        <v>0.69940000000000002</v>
      </c>
      <c r="O3953" s="1">
        <v>2.4199999999999999E-2</v>
      </c>
    </row>
    <row r="3954" spans="1:18" x14ac:dyDescent="0.25">
      <c r="A3954" t="s">
        <v>198</v>
      </c>
      <c r="B3954" t="s">
        <v>349</v>
      </c>
      <c r="C3954">
        <v>110</v>
      </c>
      <c r="D3954" t="s">
        <v>199</v>
      </c>
      <c r="E3954">
        <v>2615</v>
      </c>
      <c r="G3954" s="1">
        <v>6.9800000000000001E-2</v>
      </c>
      <c r="H3954" s="1">
        <v>6.9999999999999999E-4</v>
      </c>
      <c r="I3954" s="1">
        <v>0.108</v>
      </c>
      <c r="J3954" s="1">
        <v>3.5700000000000003E-2</v>
      </c>
      <c r="K3954" s="1">
        <v>1.9E-2</v>
      </c>
      <c r="L3954" s="1">
        <v>0.05</v>
      </c>
      <c r="M3954" s="1">
        <v>9.5999999999999992E-3</v>
      </c>
      <c r="N3954" s="1">
        <v>0.74690000000000001</v>
      </c>
      <c r="O3954" s="1">
        <v>8.0999999999999996E-3</v>
      </c>
    </row>
    <row r="3955" spans="1:18" x14ac:dyDescent="0.25">
      <c r="A3955" t="s">
        <v>198</v>
      </c>
      <c r="B3955" t="s">
        <v>350</v>
      </c>
      <c r="C3955">
        <v>191</v>
      </c>
      <c r="D3955" t="s">
        <v>199</v>
      </c>
      <c r="E3955">
        <v>2615</v>
      </c>
      <c r="F3955" s="1">
        <v>1.1000000000000001E-3</v>
      </c>
      <c r="G3955" s="1">
        <v>2.9899999999999999E-2</v>
      </c>
      <c r="H3955" s="1">
        <v>4.0599999999999997E-2</v>
      </c>
      <c r="J3955" s="1">
        <v>2.06E-2</v>
      </c>
      <c r="K3955" s="1">
        <v>3.0200000000000001E-2</v>
      </c>
      <c r="L3955" s="1">
        <v>4.1500000000000002E-2</v>
      </c>
      <c r="M3955" s="1">
        <v>6.1199999999999997E-2</v>
      </c>
      <c r="N3955" s="1">
        <v>0.79</v>
      </c>
      <c r="O3955" s="1">
        <v>2.3699999999999999E-2</v>
      </c>
      <c r="Q3955" s="1">
        <v>5.0000000000000001E-3</v>
      </c>
      <c r="R3955" s="1">
        <v>8.0000000000000004E-4</v>
      </c>
    </row>
    <row r="3956" spans="1:18" x14ac:dyDescent="0.25">
      <c r="A3956" t="s">
        <v>198</v>
      </c>
      <c r="B3956" t="s">
        <v>350</v>
      </c>
      <c r="C3956">
        <v>77</v>
      </c>
      <c r="D3956" t="s">
        <v>200</v>
      </c>
      <c r="E3956">
        <v>2615</v>
      </c>
      <c r="G3956" s="1">
        <v>2.47E-2</v>
      </c>
      <c r="H3956" s="1">
        <v>1.17E-2</v>
      </c>
      <c r="J3956" s="1">
        <v>1.4E-2</v>
      </c>
      <c r="K3956" s="1">
        <v>2.3400000000000001E-2</v>
      </c>
      <c r="L3956" s="1">
        <v>5.1400000000000001E-2</v>
      </c>
      <c r="M3956" s="1">
        <v>3.32E-2</v>
      </c>
      <c r="N3956" s="1">
        <v>0.85609999999999997</v>
      </c>
      <c r="O3956" s="1">
        <v>1.1599999999999999E-2</v>
      </c>
      <c r="Q3956" s="1">
        <v>1.17E-2</v>
      </c>
    </row>
    <row r="3957" spans="1:18" x14ac:dyDescent="0.25">
      <c r="A3957" t="s">
        <v>198</v>
      </c>
      <c r="B3957" t="s">
        <v>348</v>
      </c>
      <c r="C3957">
        <v>242</v>
      </c>
      <c r="D3957" t="s">
        <v>200</v>
      </c>
      <c r="E3957">
        <v>2615</v>
      </c>
      <c r="F3957" s="1">
        <v>5.3E-3</v>
      </c>
      <c r="G3957" s="1">
        <v>5.2400000000000002E-2</v>
      </c>
      <c r="H3957" s="1">
        <v>8.8999999999999999E-3</v>
      </c>
      <c r="J3957" s="1">
        <v>2.12E-2</v>
      </c>
      <c r="K3957" s="1">
        <v>6.1100000000000002E-2</v>
      </c>
      <c r="L3957" s="1">
        <v>4.0099999999999997E-2</v>
      </c>
      <c r="M3957" s="1">
        <v>2.76E-2</v>
      </c>
      <c r="N3957" s="1">
        <v>0.84140000000000004</v>
      </c>
      <c r="O3957" s="1">
        <v>2.7400000000000001E-2</v>
      </c>
      <c r="Q3957" s="1">
        <v>5.3E-3</v>
      </c>
    </row>
    <row r="3958" spans="1:18" x14ac:dyDescent="0.25">
      <c r="A3958" t="s">
        <v>198</v>
      </c>
      <c r="B3958" t="s">
        <v>349</v>
      </c>
      <c r="C3958">
        <v>62</v>
      </c>
      <c r="D3958" t="s">
        <v>200</v>
      </c>
      <c r="E3958">
        <v>2615</v>
      </c>
      <c r="F3958" s="1">
        <v>1.6500000000000001E-2</v>
      </c>
      <c r="G3958" s="1">
        <v>0.154</v>
      </c>
      <c r="J3958" s="1">
        <v>1.2E-2</v>
      </c>
      <c r="K3958" s="1">
        <v>3.6700000000000003E-2</v>
      </c>
      <c r="L3958" s="1">
        <v>0.1196</v>
      </c>
      <c r="M3958" s="1">
        <v>3.15E-2</v>
      </c>
      <c r="N3958" s="1">
        <v>0.61160000000000003</v>
      </c>
      <c r="O3958" s="1">
        <v>5.8999999999999997E-2</v>
      </c>
      <c r="Q3958" s="1">
        <v>1.2E-2</v>
      </c>
      <c r="R3958" s="1">
        <v>3.3999999999999998E-3</v>
      </c>
    </row>
    <row r="3959" spans="1:18" x14ac:dyDescent="0.25">
      <c r="A3959" t="s">
        <v>198</v>
      </c>
      <c r="B3959" t="s">
        <v>349</v>
      </c>
      <c r="C3959">
        <v>125</v>
      </c>
      <c r="D3959" t="s">
        <v>201</v>
      </c>
      <c r="E3959">
        <v>2615</v>
      </c>
      <c r="F3959" s="1">
        <v>1.3599999999999999E-2</v>
      </c>
      <c r="G3959" s="1">
        <v>6.5199999999999994E-2</v>
      </c>
      <c r="H3959" s="1">
        <v>5.5999999999999999E-3</v>
      </c>
      <c r="I3959" s="1">
        <v>5.1999999999999998E-3</v>
      </c>
      <c r="J3959" s="1">
        <v>3.2399999999999998E-2</v>
      </c>
      <c r="K3959" s="1">
        <v>7.8399999999999997E-2</v>
      </c>
      <c r="L3959" s="1">
        <v>6.1899999999999997E-2</v>
      </c>
      <c r="M3959" s="1">
        <v>2.4899999999999999E-2</v>
      </c>
      <c r="N3959" s="1">
        <v>0.7833</v>
      </c>
      <c r="O3959" s="1">
        <v>4.0800000000000003E-2</v>
      </c>
      <c r="Q3959" s="1">
        <v>1.6400000000000001E-2</v>
      </c>
    </row>
    <row r="3960" spans="1:18" x14ac:dyDescent="0.25">
      <c r="A3960" t="s">
        <v>198</v>
      </c>
      <c r="B3960" t="s">
        <v>350</v>
      </c>
      <c r="C3960">
        <v>62</v>
      </c>
      <c r="D3960" t="s">
        <v>201</v>
      </c>
      <c r="E3960">
        <v>2615</v>
      </c>
      <c r="F3960" s="1">
        <v>1.5900000000000001E-2</v>
      </c>
      <c r="G3960" s="1">
        <v>3.1899999999999998E-2</v>
      </c>
      <c r="I3960" s="1">
        <v>2.9600000000000001E-2</v>
      </c>
      <c r="J3960" s="1">
        <v>1.5900000000000001E-2</v>
      </c>
      <c r="K3960" s="1">
        <v>6.1400000000000003E-2</v>
      </c>
      <c r="L3960" s="1">
        <v>7.4999999999999997E-3</v>
      </c>
      <c r="N3960" s="1">
        <v>0.85140000000000005</v>
      </c>
      <c r="O3960" s="1">
        <v>3.1899999999999998E-2</v>
      </c>
      <c r="Q3960" s="1">
        <v>1.5900000000000001E-2</v>
      </c>
    </row>
    <row r="3961" spans="1:18" x14ac:dyDescent="0.25">
      <c r="A3961" t="s">
        <v>198</v>
      </c>
      <c r="B3961" t="s">
        <v>348</v>
      </c>
      <c r="C3961">
        <v>62</v>
      </c>
      <c r="D3961" t="s">
        <v>201</v>
      </c>
      <c r="E3961">
        <v>2615</v>
      </c>
      <c r="F3961" s="1">
        <v>1.8499999999999999E-2</v>
      </c>
      <c r="G3961" s="1">
        <v>0.15390000000000001</v>
      </c>
      <c r="I3961" s="1">
        <v>6.4899999999999999E-2</v>
      </c>
      <c r="J3961" s="1">
        <v>3.49E-2</v>
      </c>
      <c r="K3961" s="1">
        <v>0.10920000000000001</v>
      </c>
      <c r="L3961" s="1">
        <v>9.9699999999999997E-2</v>
      </c>
      <c r="M3961" s="1">
        <v>5.7000000000000002E-2</v>
      </c>
      <c r="N3961" s="1">
        <v>0.70689999999999997</v>
      </c>
      <c r="O3961" s="1">
        <v>4.9500000000000002E-2</v>
      </c>
      <c r="Q3961" s="1">
        <v>0.03</v>
      </c>
    </row>
    <row r="3962" spans="1:18" x14ac:dyDescent="0.25">
      <c r="A3962" t="s">
        <v>198</v>
      </c>
      <c r="B3962" t="s">
        <v>348</v>
      </c>
      <c r="C3962">
        <v>96</v>
      </c>
      <c r="D3962" t="s">
        <v>202</v>
      </c>
      <c r="E3962">
        <v>2615</v>
      </c>
      <c r="F3962" s="1">
        <v>2.5000000000000001E-3</v>
      </c>
      <c r="G3962" s="1">
        <v>6.3700000000000007E-2</v>
      </c>
      <c r="H3962" s="1">
        <v>8.0000000000000002E-3</v>
      </c>
      <c r="I3962" s="1">
        <v>0.02</v>
      </c>
      <c r="J3962" s="1">
        <v>8.0600000000000005E-2</v>
      </c>
      <c r="K3962" s="1">
        <v>7.7299999999999994E-2</v>
      </c>
      <c r="L3962" s="1">
        <v>3.1399999999999997E-2</v>
      </c>
      <c r="M3962" s="1">
        <v>6.2899999999999998E-2</v>
      </c>
      <c r="N3962" s="1">
        <v>0.77739999999999998</v>
      </c>
      <c r="O3962" s="1">
        <v>4.7600000000000003E-2</v>
      </c>
      <c r="R3962" s="1">
        <v>2.6700000000000002E-2</v>
      </c>
    </row>
    <row r="3963" spans="1:18" x14ac:dyDescent="0.25">
      <c r="A3963" t="s">
        <v>203</v>
      </c>
      <c r="B3963" t="s">
        <v>349</v>
      </c>
      <c r="C3963">
        <v>171</v>
      </c>
      <c r="D3963" t="s">
        <v>199</v>
      </c>
      <c r="E3963">
        <v>2615</v>
      </c>
      <c r="G3963" s="1">
        <v>4.9299999999999997E-2</v>
      </c>
      <c r="H3963" s="1">
        <v>8.6E-3</v>
      </c>
      <c r="I3963" s="1">
        <v>1.26E-2</v>
      </c>
      <c r="J3963" s="1">
        <v>2.8E-3</v>
      </c>
      <c r="K3963" s="1">
        <v>8.6E-3</v>
      </c>
      <c r="L3963" s="1">
        <v>1.34E-2</v>
      </c>
      <c r="M3963" s="1">
        <v>2.8E-3</v>
      </c>
      <c r="N3963" s="1">
        <v>0.9173</v>
      </c>
      <c r="O3963" s="1">
        <v>9.5999999999999992E-3</v>
      </c>
      <c r="P3963" s="1">
        <v>3.3999999999999998E-3</v>
      </c>
    </row>
    <row r="3964" spans="1:18" x14ac:dyDescent="0.25">
      <c r="A3964" t="s">
        <v>203</v>
      </c>
      <c r="B3964" t="s">
        <v>348</v>
      </c>
      <c r="C3964">
        <v>42</v>
      </c>
      <c r="D3964" t="s">
        <v>199</v>
      </c>
      <c r="E3964">
        <v>2615</v>
      </c>
      <c r="G3964" s="1">
        <v>0.1668</v>
      </c>
      <c r="I3964" s="1">
        <v>3.1800000000000002E-2</v>
      </c>
      <c r="J3964" s="1">
        <v>0.01</v>
      </c>
      <c r="K3964" s="1">
        <v>4.1700000000000001E-2</v>
      </c>
      <c r="L3964" s="1">
        <v>6.3500000000000001E-2</v>
      </c>
      <c r="M3964" s="1">
        <v>7.3499999999999996E-2</v>
      </c>
      <c r="N3964" s="1">
        <v>0.72789999999999999</v>
      </c>
      <c r="O3964" s="1">
        <v>5.1700000000000003E-2</v>
      </c>
    </row>
    <row r="3965" spans="1:18" x14ac:dyDescent="0.25">
      <c r="A3965" t="s">
        <v>203</v>
      </c>
      <c r="B3965" t="s">
        <v>350</v>
      </c>
      <c r="C3965">
        <v>303</v>
      </c>
      <c r="D3965" t="s">
        <v>199</v>
      </c>
      <c r="E3965">
        <v>2615</v>
      </c>
      <c r="F3965" s="1">
        <v>2.7000000000000001E-3</v>
      </c>
      <c r="G3965" s="1">
        <v>4.2299999999999997E-2</v>
      </c>
      <c r="H3965" s="1">
        <v>8.0000000000000004E-4</v>
      </c>
      <c r="I3965" s="1">
        <v>2.69E-2</v>
      </c>
      <c r="J3965" s="1">
        <v>6.7000000000000002E-3</v>
      </c>
      <c r="K3965" s="1">
        <v>2.7799999999999998E-2</v>
      </c>
      <c r="L3965" s="1">
        <v>3.8100000000000002E-2</v>
      </c>
      <c r="M3965" s="1">
        <v>2.7699999999999999E-2</v>
      </c>
      <c r="N3965" s="1">
        <v>0.80430000000000001</v>
      </c>
      <c r="O3965" s="1">
        <v>4.0399999999999998E-2</v>
      </c>
    </row>
    <row r="3966" spans="1:18" x14ac:dyDescent="0.25">
      <c r="A3966" t="s">
        <v>203</v>
      </c>
      <c r="B3966" t="s">
        <v>348</v>
      </c>
      <c r="C3966">
        <v>299</v>
      </c>
      <c r="D3966" t="s">
        <v>200</v>
      </c>
      <c r="E3966">
        <v>2615</v>
      </c>
      <c r="G3966" s="1">
        <v>5.0200000000000002E-2</v>
      </c>
      <c r="H3966" s="1">
        <v>7.1999999999999998E-3</v>
      </c>
      <c r="I3966" s="1">
        <v>1.3100000000000001E-2</v>
      </c>
      <c r="J3966" s="1">
        <v>2.5100000000000001E-2</v>
      </c>
      <c r="K3966" s="1">
        <v>3.6600000000000001E-2</v>
      </c>
      <c r="L3966" s="1">
        <v>3.1800000000000002E-2</v>
      </c>
      <c r="M3966" s="1">
        <v>4.2000000000000003E-2</v>
      </c>
      <c r="N3966" s="1">
        <v>0.88239999999999996</v>
      </c>
      <c r="O3966" s="1">
        <v>5.0000000000000001E-3</v>
      </c>
      <c r="Q3966" s="1">
        <v>2.2000000000000001E-3</v>
      </c>
      <c r="R3966" s="1">
        <v>2.2000000000000001E-3</v>
      </c>
    </row>
    <row r="3967" spans="1:18" x14ac:dyDescent="0.25">
      <c r="A3967" t="s">
        <v>203</v>
      </c>
      <c r="B3967" t="s">
        <v>349</v>
      </c>
      <c r="C3967">
        <v>107</v>
      </c>
      <c r="D3967" t="s">
        <v>200</v>
      </c>
      <c r="E3967">
        <v>2615</v>
      </c>
      <c r="F3967" s="1">
        <v>3.0800000000000001E-2</v>
      </c>
      <c r="G3967" s="1">
        <v>6.4999999999999997E-3</v>
      </c>
      <c r="I3967" s="1">
        <v>3.0800000000000001E-2</v>
      </c>
      <c r="J3967" s="1">
        <v>2.1899999999999999E-2</v>
      </c>
      <c r="K3967" s="1">
        <v>1.4E-3</v>
      </c>
      <c r="L3967" s="1">
        <v>2.2800000000000001E-2</v>
      </c>
      <c r="N3967" s="1">
        <v>0.85729999999999995</v>
      </c>
      <c r="O3967" s="1">
        <v>1.95E-2</v>
      </c>
      <c r="Q3967" s="1">
        <v>1.54E-2</v>
      </c>
    </row>
    <row r="3968" spans="1:18" x14ac:dyDescent="0.25">
      <c r="A3968" t="s">
        <v>203</v>
      </c>
      <c r="B3968" t="s">
        <v>350</v>
      </c>
      <c r="C3968">
        <v>92</v>
      </c>
      <c r="D3968" t="s">
        <v>200</v>
      </c>
      <c r="E3968">
        <v>2615</v>
      </c>
      <c r="G3968" s="1">
        <v>1.7600000000000001E-2</v>
      </c>
      <c r="H3968" s="1">
        <v>1.5699999999999999E-2</v>
      </c>
      <c r="K3968" s="1">
        <v>4.0300000000000002E-2</v>
      </c>
      <c r="L3968" s="1">
        <v>2.3699999999999999E-2</v>
      </c>
      <c r="N3968" s="1">
        <v>0.85019999999999996</v>
      </c>
      <c r="O3968" s="1">
        <v>5.4300000000000001E-2</v>
      </c>
    </row>
    <row r="3969" spans="1:18" x14ac:dyDescent="0.25">
      <c r="A3969" t="s">
        <v>203</v>
      </c>
      <c r="B3969" t="s">
        <v>348</v>
      </c>
      <c r="C3969">
        <v>62</v>
      </c>
      <c r="D3969" t="s">
        <v>201</v>
      </c>
      <c r="E3969">
        <v>2615</v>
      </c>
      <c r="G3969" s="1">
        <v>4.9700000000000001E-2</v>
      </c>
      <c r="H3969" s="1">
        <v>1.9E-2</v>
      </c>
      <c r="K3969" s="1">
        <v>4.8399999999999999E-2</v>
      </c>
      <c r="L3969" s="1">
        <v>0.18690000000000001</v>
      </c>
      <c r="M3969" s="1">
        <v>2.5499999999999998E-2</v>
      </c>
      <c r="N3969" s="1">
        <v>0.74690000000000001</v>
      </c>
      <c r="O3969" s="1">
        <v>5.1999999999999998E-3</v>
      </c>
      <c r="Q3969" s="1">
        <v>6.4999999999999997E-3</v>
      </c>
    </row>
    <row r="3970" spans="1:18" x14ac:dyDescent="0.25">
      <c r="A3970" t="s">
        <v>203</v>
      </c>
      <c r="B3970" t="s">
        <v>349</v>
      </c>
      <c r="C3970">
        <v>147</v>
      </c>
      <c r="D3970" t="s">
        <v>201</v>
      </c>
      <c r="E3970">
        <v>2615</v>
      </c>
      <c r="F3970" s="1">
        <v>8.9999999999999993E-3</v>
      </c>
      <c r="G3970" s="1">
        <v>2.6200000000000001E-2</v>
      </c>
      <c r="H3970" s="1">
        <v>6.8999999999999999E-3</v>
      </c>
      <c r="I3970" s="1">
        <v>4.6800000000000001E-2</v>
      </c>
      <c r="J3970" s="1">
        <v>1.3100000000000001E-2</v>
      </c>
      <c r="K3970" s="1">
        <v>8.3000000000000004E-2</v>
      </c>
      <c r="L3970" s="1">
        <v>9.2899999999999996E-2</v>
      </c>
      <c r="M3970" s="1">
        <v>2.3800000000000002E-2</v>
      </c>
      <c r="N3970" s="1">
        <v>0.80159999999999998</v>
      </c>
      <c r="O3970" s="1">
        <v>2.0000000000000001E-4</v>
      </c>
      <c r="R3970" s="1">
        <v>8.5000000000000006E-3</v>
      </c>
    </row>
    <row r="3971" spans="1:18" x14ac:dyDescent="0.25">
      <c r="A3971" t="s">
        <v>203</v>
      </c>
      <c r="B3971" t="s">
        <v>350</v>
      </c>
      <c r="C3971">
        <v>102</v>
      </c>
      <c r="D3971" t="s">
        <v>201</v>
      </c>
      <c r="E3971">
        <v>2615</v>
      </c>
      <c r="G3971" s="1">
        <v>1.66E-2</v>
      </c>
      <c r="H3971" s="1">
        <v>3.32E-2</v>
      </c>
      <c r="I3971" s="1">
        <v>2.6800000000000001E-2</v>
      </c>
      <c r="J3971" s="1">
        <v>3.32E-2</v>
      </c>
      <c r="L3971" s="1">
        <v>4.1599999999999998E-2</v>
      </c>
      <c r="M3971" s="1">
        <v>1.66E-2</v>
      </c>
      <c r="N3971" s="1">
        <v>0.80410000000000004</v>
      </c>
      <c r="O3971" s="1">
        <v>4.4400000000000002E-2</v>
      </c>
      <c r="Q3971" s="1">
        <v>4.9799999999999997E-2</v>
      </c>
    </row>
    <row r="3972" spans="1:18" x14ac:dyDescent="0.25">
      <c r="A3972" t="s">
        <v>203</v>
      </c>
      <c r="B3972" t="s">
        <v>348</v>
      </c>
      <c r="C3972">
        <v>90</v>
      </c>
      <c r="D3972" t="s">
        <v>202</v>
      </c>
      <c r="E3972">
        <v>2615</v>
      </c>
      <c r="G3972" s="1">
        <v>3.09E-2</v>
      </c>
      <c r="H3972" s="1">
        <v>4.8999999999999998E-3</v>
      </c>
      <c r="I3972" s="1">
        <v>1.9599999999999999E-2</v>
      </c>
      <c r="J3972" s="1">
        <v>4.19E-2</v>
      </c>
      <c r="K3972" s="1">
        <v>6.0199999999999997E-2</v>
      </c>
      <c r="L3972" s="1">
        <v>2.3900000000000001E-2</v>
      </c>
      <c r="M3972" s="1">
        <v>4.7100000000000003E-2</v>
      </c>
      <c r="N3972" s="1">
        <v>0.88370000000000004</v>
      </c>
      <c r="O3972" s="1">
        <v>3.7000000000000002E-3</v>
      </c>
      <c r="R3972" s="1">
        <v>4.8999999999999998E-3</v>
      </c>
    </row>
    <row r="3973" spans="1:18" x14ac:dyDescent="0.25">
      <c r="A3973" t="s">
        <v>204</v>
      </c>
      <c r="B3973" t="s">
        <v>204</v>
      </c>
      <c r="C3973">
        <v>2615</v>
      </c>
      <c r="D3973" t="s">
        <v>204</v>
      </c>
      <c r="E3973">
        <v>2615</v>
      </c>
      <c r="F3973" s="1">
        <v>3.0999999999999999E-3</v>
      </c>
      <c r="G3973" s="1">
        <v>5.7200000000000001E-2</v>
      </c>
      <c r="H3973" s="1">
        <v>7.6E-3</v>
      </c>
      <c r="I3973" s="1">
        <v>2.1299999999999999E-2</v>
      </c>
      <c r="J3973" s="1">
        <v>2.93E-2</v>
      </c>
      <c r="K3973" s="1">
        <v>5.28E-2</v>
      </c>
      <c r="L3973" s="1">
        <v>4.3799999999999999E-2</v>
      </c>
      <c r="M3973" s="1">
        <v>3.7600000000000001E-2</v>
      </c>
      <c r="N3973" s="1">
        <v>0.82320000000000004</v>
      </c>
      <c r="O3973" s="1">
        <v>2.06E-2</v>
      </c>
      <c r="P3973" s="1">
        <v>1E-4</v>
      </c>
      <c r="Q3973" s="1">
        <v>3.8999999999999998E-3</v>
      </c>
      <c r="R3973" s="1">
        <v>4.3E-3</v>
      </c>
    </row>
    <row r="3975" spans="1:18" x14ac:dyDescent="0.25">
      <c r="A3975" t="s">
        <v>936</v>
      </c>
    </row>
    <row r="3976" spans="1:18" x14ac:dyDescent="0.25">
      <c r="A3976" t="s">
        <v>190</v>
      </c>
      <c r="B3976" t="s">
        <v>195</v>
      </c>
      <c r="C3976" t="s">
        <v>189</v>
      </c>
      <c r="D3976" t="s">
        <v>196</v>
      </c>
      <c r="E3976" t="s">
        <v>220</v>
      </c>
      <c r="F3976" t="s">
        <v>937</v>
      </c>
      <c r="G3976" t="s">
        <v>271</v>
      </c>
      <c r="H3976" t="s">
        <v>235</v>
      </c>
      <c r="I3976" t="s">
        <v>215</v>
      </c>
      <c r="J3976" t="s">
        <v>938</v>
      </c>
      <c r="K3976" t="s">
        <v>939</v>
      </c>
      <c r="L3976" t="s">
        <v>940</v>
      </c>
    </row>
    <row r="3977" spans="1:18" x14ac:dyDescent="0.25">
      <c r="A3977" t="s">
        <v>198</v>
      </c>
      <c r="B3977">
        <v>82</v>
      </c>
      <c r="C3977" t="s">
        <v>197</v>
      </c>
      <c r="D3977">
        <v>2624</v>
      </c>
      <c r="F3977" s="1">
        <v>1.38E-2</v>
      </c>
      <c r="G3977" s="1">
        <v>0.96150000000000002</v>
      </c>
      <c r="J3977" s="1">
        <v>2.4799999999999999E-2</v>
      </c>
      <c r="K3977" s="1">
        <v>1.38E-2</v>
      </c>
      <c r="L3977" s="1">
        <v>2.75E-2</v>
      </c>
    </row>
    <row r="3978" spans="1:18" x14ac:dyDescent="0.25">
      <c r="A3978" t="s">
        <v>198</v>
      </c>
      <c r="B3978">
        <v>366</v>
      </c>
      <c r="C3978" t="s">
        <v>199</v>
      </c>
      <c r="D3978">
        <v>2624</v>
      </c>
      <c r="E3978" s="1">
        <v>4.36E-2</v>
      </c>
      <c r="F3978" s="1">
        <v>8.9999999999999993E-3</v>
      </c>
      <c r="G3978" s="1">
        <v>0.90359999999999996</v>
      </c>
      <c r="H3978" s="1">
        <v>1.5E-3</v>
      </c>
      <c r="J3978" s="1">
        <v>2.8799999999999999E-2</v>
      </c>
      <c r="K3978" s="1">
        <v>1.9400000000000001E-2</v>
      </c>
      <c r="L3978" s="1">
        <v>4.36E-2</v>
      </c>
    </row>
    <row r="3979" spans="1:18" x14ac:dyDescent="0.25">
      <c r="A3979" t="s">
        <v>198</v>
      </c>
      <c r="B3979">
        <v>387</v>
      </c>
      <c r="C3979" t="s">
        <v>200</v>
      </c>
      <c r="D3979">
        <v>2624</v>
      </c>
      <c r="E3979" s="1">
        <v>8.6999999999999994E-3</v>
      </c>
      <c r="F3979" s="1">
        <v>1.09E-2</v>
      </c>
      <c r="G3979" s="1">
        <v>0.92579999999999996</v>
      </c>
      <c r="H3979" s="1">
        <v>4.5999999999999999E-3</v>
      </c>
      <c r="I3979" s="1">
        <v>1.6999999999999999E-3</v>
      </c>
      <c r="J3979" s="1">
        <v>1.3100000000000001E-2</v>
      </c>
      <c r="K3979" s="1">
        <v>1.8499999999999999E-2</v>
      </c>
      <c r="L3979" s="1">
        <v>4.6100000000000002E-2</v>
      </c>
    </row>
    <row r="3980" spans="1:18" x14ac:dyDescent="0.25">
      <c r="A3980" t="s">
        <v>198</v>
      </c>
      <c r="B3980">
        <v>256</v>
      </c>
      <c r="C3980" t="s">
        <v>201</v>
      </c>
      <c r="D3980">
        <v>2624</v>
      </c>
      <c r="E3980" s="1">
        <v>1.8599999999999998E-2</v>
      </c>
      <c r="F3980" s="1">
        <v>1.7600000000000001E-2</v>
      </c>
      <c r="G3980" s="1">
        <v>0.85260000000000002</v>
      </c>
      <c r="H3980" s="1">
        <v>1E-3</v>
      </c>
      <c r="J3980" s="1">
        <v>4.6600000000000003E-2</v>
      </c>
      <c r="K3980" s="1">
        <v>3.4200000000000001E-2</v>
      </c>
      <c r="L3980" s="1">
        <v>8.8900000000000007E-2</v>
      </c>
    </row>
    <row r="3981" spans="1:18" x14ac:dyDescent="0.25">
      <c r="A3981" t="s">
        <v>198</v>
      </c>
      <c r="B3981">
        <v>95</v>
      </c>
      <c r="C3981" t="s">
        <v>202</v>
      </c>
      <c r="D3981">
        <v>2624</v>
      </c>
      <c r="E3981" s="1">
        <v>1.8100000000000002E-2</v>
      </c>
      <c r="F3981" s="1">
        <v>5.2600000000000001E-2</v>
      </c>
      <c r="G3981" s="1">
        <v>0.91959999999999997</v>
      </c>
      <c r="J3981" s="1">
        <v>5.2600000000000001E-2</v>
      </c>
      <c r="K3981" s="1">
        <v>5.2600000000000001E-2</v>
      </c>
      <c r="L3981" s="1">
        <v>6.2300000000000001E-2</v>
      </c>
    </row>
    <row r="3982" spans="1:18" x14ac:dyDescent="0.25">
      <c r="A3982" t="s">
        <v>203</v>
      </c>
      <c r="B3982">
        <v>528</v>
      </c>
      <c r="C3982" t="s">
        <v>199</v>
      </c>
      <c r="D3982">
        <v>2624</v>
      </c>
      <c r="F3982" s="1">
        <v>2.5499999999999998E-2</v>
      </c>
      <c r="G3982" s="1">
        <v>0.79390000000000005</v>
      </c>
      <c r="H3982" s="1">
        <v>1.47E-2</v>
      </c>
      <c r="J3982" s="1">
        <v>5.11E-2</v>
      </c>
      <c r="K3982" s="1">
        <v>5.3400000000000003E-2</v>
      </c>
      <c r="L3982" s="1">
        <v>0.1832</v>
      </c>
    </row>
    <row r="3983" spans="1:18" x14ac:dyDescent="0.25">
      <c r="A3983" t="s">
        <v>203</v>
      </c>
      <c r="B3983">
        <v>500</v>
      </c>
      <c r="C3983" t="s">
        <v>200</v>
      </c>
      <c r="D3983">
        <v>2624</v>
      </c>
      <c r="F3983" s="1">
        <v>3.49E-2</v>
      </c>
      <c r="G3983" s="1">
        <v>0.9214</v>
      </c>
      <c r="H3983" s="1">
        <v>1.1999999999999999E-3</v>
      </c>
      <c r="I3983" s="1">
        <v>5.0000000000000001E-4</v>
      </c>
      <c r="J3983" s="1">
        <v>3.1300000000000001E-2</v>
      </c>
      <c r="K3983" s="1">
        <v>4.6899999999999997E-2</v>
      </c>
      <c r="L3983" s="1">
        <v>5.7200000000000001E-2</v>
      </c>
    </row>
    <row r="3984" spans="1:18" x14ac:dyDescent="0.25">
      <c r="A3984" t="s">
        <v>203</v>
      </c>
      <c r="B3984">
        <v>320</v>
      </c>
      <c r="C3984" t="s">
        <v>201</v>
      </c>
      <c r="D3984">
        <v>2624</v>
      </c>
      <c r="E3984" s="1">
        <v>1.1999999999999999E-3</v>
      </c>
      <c r="F3984" s="1">
        <v>0.06</v>
      </c>
      <c r="G3984" s="1">
        <v>0.85199999999999998</v>
      </c>
      <c r="H3984" s="1">
        <v>1.24E-2</v>
      </c>
      <c r="I3984" s="1">
        <v>2.0000000000000001E-4</v>
      </c>
      <c r="J3984" s="1">
        <v>7.0999999999999994E-2</v>
      </c>
      <c r="K3984" s="1">
        <v>5.21E-2</v>
      </c>
      <c r="L3984" s="1">
        <v>0.1231</v>
      </c>
    </row>
    <row r="3985" spans="1:13" x14ac:dyDescent="0.25">
      <c r="A3985" t="s">
        <v>203</v>
      </c>
      <c r="B3985">
        <v>90</v>
      </c>
      <c r="C3985" t="s">
        <v>202</v>
      </c>
      <c r="D3985">
        <v>2624</v>
      </c>
      <c r="F3985" s="1">
        <v>8.8000000000000005E-3</v>
      </c>
      <c r="G3985" s="1">
        <v>0.98250000000000004</v>
      </c>
      <c r="J3985" s="1">
        <v>8.8000000000000005E-3</v>
      </c>
      <c r="L3985" s="1">
        <v>1.7500000000000002E-2</v>
      </c>
    </row>
    <row r="3986" spans="1:13" x14ac:dyDescent="0.25">
      <c r="A3986" t="s">
        <v>204</v>
      </c>
      <c r="B3986">
        <v>2624</v>
      </c>
      <c r="C3986" t="s">
        <v>204</v>
      </c>
      <c r="D3986">
        <v>2624</v>
      </c>
      <c r="E3986" s="1">
        <v>9.1999999999999998E-3</v>
      </c>
      <c r="F3986" s="1">
        <v>2.69E-2</v>
      </c>
      <c r="G3986" s="1">
        <v>0.90149999999999997</v>
      </c>
      <c r="H3986" s="1">
        <v>3.8E-3</v>
      </c>
      <c r="I3986" s="1">
        <v>4.0000000000000002E-4</v>
      </c>
      <c r="J3986" s="1">
        <v>3.4599999999999999E-2</v>
      </c>
      <c r="K3986" s="1">
        <v>3.6400000000000002E-2</v>
      </c>
      <c r="L3986" s="1">
        <v>7.22E-2</v>
      </c>
    </row>
    <row r="3988" spans="1:13" x14ac:dyDescent="0.25">
      <c r="A3988" t="s">
        <v>941</v>
      </c>
    </row>
    <row r="3989" spans="1:13" x14ac:dyDescent="0.25">
      <c r="A3989" t="s">
        <v>190</v>
      </c>
      <c r="B3989" t="s">
        <v>206</v>
      </c>
      <c r="C3989" t="s">
        <v>195</v>
      </c>
      <c r="D3989" t="s">
        <v>189</v>
      </c>
      <c r="E3989" t="s">
        <v>196</v>
      </c>
      <c r="F3989" t="s">
        <v>220</v>
      </c>
      <c r="G3989" t="s">
        <v>937</v>
      </c>
      <c r="H3989" t="s">
        <v>271</v>
      </c>
      <c r="I3989" t="s">
        <v>235</v>
      </c>
      <c r="J3989" t="s">
        <v>215</v>
      </c>
      <c r="K3989" t="s">
        <v>938</v>
      </c>
      <c r="L3989" t="s">
        <v>939</v>
      </c>
      <c r="M3989" t="s">
        <v>940</v>
      </c>
    </row>
    <row r="3990" spans="1:13" x14ac:dyDescent="0.25">
      <c r="A3990" t="s">
        <v>198</v>
      </c>
      <c r="B3990" t="s">
        <v>228</v>
      </c>
      <c r="C3990">
        <v>33</v>
      </c>
      <c r="D3990" t="s">
        <v>197</v>
      </c>
      <c r="E3990">
        <v>2624</v>
      </c>
      <c r="H3990" s="1">
        <v>0.97440000000000004</v>
      </c>
      <c r="K3990" s="1">
        <v>2.5600000000000001E-2</v>
      </c>
    </row>
    <row r="3991" spans="1:13" x14ac:dyDescent="0.25">
      <c r="A3991" t="s">
        <v>198</v>
      </c>
      <c r="B3991" t="s">
        <v>229</v>
      </c>
      <c r="C3991">
        <v>49</v>
      </c>
      <c r="D3991" t="s">
        <v>197</v>
      </c>
      <c r="E3991">
        <v>2624</v>
      </c>
      <c r="G3991" s="1">
        <v>2.4199999999999999E-2</v>
      </c>
      <c r="H3991" s="1">
        <v>0.9516</v>
      </c>
      <c r="K3991" s="1">
        <v>2.4199999999999999E-2</v>
      </c>
      <c r="L3991" s="1">
        <v>2.4199999999999999E-2</v>
      </c>
      <c r="M3991" s="1">
        <v>4.8399999999999999E-2</v>
      </c>
    </row>
    <row r="3992" spans="1:13" x14ac:dyDescent="0.25">
      <c r="A3992" t="s">
        <v>198</v>
      </c>
      <c r="B3992" t="s">
        <v>228</v>
      </c>
      <c r="C3992">
        <v>143</v>
      </c>
      <c r="D3992" t="s">
        <v>199</v>
      </c>
      <c r="E3992">
        <v>2624</v>
      </c>
      <c r="F3992" s="1">
        <v>3.9800000000000002E-2</v>
      </c>
      <c r="G3992" s="1">
        <v>1.77E-2</v>
      </c>
      <c r="H3992" s="1">
        <v>0.8861</v>
      </c>
      <c r="I3992" s="1">
        <v>4.4999999999999997E-3</v>
      </c>
      <c r="K3992" s="1">
        <v>3.0099999999999998E-2</v>
      </c>
      <c r="L3992" s="1">
        <v>1.8800000000000001E-2</v>
      </c>
      <c r="M3992" s="1">
        <v>5.2200000000000003E-2</v>
      </c>
    </row>
    <row r="3993" spans="1:13" x14ac:dyDescent="0.25">
      <c r="A3993" t="s">
        <v>198</v>
      </c>
      <c r="B3993" t="s">
        <v>229</v>
      </c>
      <c r="C3993">
        <v>213</v>
      </c>
      <c r="D3993" t="s">
        <v>199</v>
      </c>
      <c r="E3993">
        <v>2624</v>
      </c>
      <c r="F3993" s="1">
        <v>4.5400000000000003E-2</v>
      </c>
      <c r="G3993" s="1">
        <v>6.0000000000000001E-3</v>
      </c>
      <c r="H3993" s="1">
        <v>0.90910000000000002</v>
      </c>
      <c r="I3993" s="1">
        <v>4.0000000000000002E-4</v>
      </c>
      <c r="K3993" s="1">
        <v>2.8199999999999999E-2</v>
      </c>
      <c r="L3993" s="1">
        <v>1.9800000000000002E-2</v>
      </c>
      <c r="M3993" s="1">
        <v>4.1099999999999998E-2</v>
      </c>
    </row>
    <row r="3994" spans="1:13" x14ac:dyDescent="0.25">
      <c r="A3994" t="s">
        <v>198</v>
      </c>
      <c r="B3994" t="s">
        <v>229</v>
      </c>
      <c r="C3994">
        <v>270</v>
      </c>
      <c r="D3994" t="s">
        <v>200</v>
      </c>
      <c r="E3994">
        <v>2624</v>
      </c>
      <c r="F3994" s="1">
        <v>5.4000000000000003E-3</v>
      </c>
      <c r="G3994" s="1">
        <v>6.0000000000000001E-3</v>
      </c>
      <c r="H3994" s="1">
        <v>0.94630000000000003</v>
      </c>
      <c r="J3994" s="1">
        <v>2.3E-3</v>
      </c>
      <c r="K3994" s="1">
        <v>7.9000000000000008E-3</v>
      </c>
      <c r="L3994" s="1">
        <v>6.7999999999999996E-3</v>
      </c>
      <c r="M3994" s="1">
        <v>3.1199999999999999E-2</v>
      </c>
    </row>
    <row r="3995" spans="1:13" x14ac:dyDescent="0.25">
      <c r="A3995" t="s">
        <v>198</v>
      </c>
      <c r="B3995" t="s">
        <v>228</v>
      </c>
      <c r="C3995">
        <v>112</v>
      </c>
      <c r="D3995" t="s">
        <v>200</v>
      </c>
      <c r="E3995">
        <v>2624</v>
      </c>
      <c r="F3995" s="1">
        <v>1.9900000000000001E-2</v>
      </c>
      <c r="G3995" s="1">
        <v>2.7199999999999998E-2</v>
      </c>
      <c r="H3995" s="1">
        <v>0.87609999999999999</v>
      </c>
      <c r="I3995" s="1">
        <v>1.9900000000000001E-2</v>
      </c>
      <c r="K3995" s="1">
        <v>0.03</v>
      </c>
      <c r="L3995" s="1">
        <v>3.7400000000000003E-2</v>
      </c>
      <c r="M3995" s="1">
        <v>7.6600000000000001E-2</v>
      </c>
    </row>
    <row r="3996" spans="1:13" x14ac:dyDescent="0.25">
      <c r="A3996" t="s">
        <v>198</v>
      </c>
      <c r="B3996" t="s">
        <v>228</v>
      </c>
      <c r="C3996">
        <v>95</v>
      </c>
      <c r="D3996" t="s">
        <v>201</v>
      </c>
      <c r="E3996">
        <v>2624</v>
      </c>
      <c r="F3996" s="1">
        <v>1.5E-3</v>
      </c>
      <c r="G3996" s="1">
        <v>4.2000000000000003E-2</v>
      </c>
      <c r="H3996" s="1">
        <v>0.83140000000000003</v>
      </c>
      <c r="I3996" s="1">
        <v>1.5E-3</v>
      </c>
      <c r="K3996" s="1">
        <v>9.6100000000000005E-2</v>
      </c>
      <c r="L3996" s="1">
        <v>1.9599999999999999E-2</v>
      </c>
      <c r="M3996" s="1">
        <v>0.1343</v>
      </c>
    </row>
    <row r="3997" spans="1:13" x14ac:dyDescent="0.25">
      <c r="A3997" t="s">
        <v>198</v>
      </c>
      <c r="B3997" t="s">
        <v>229</v>
      </c>
      <c r="C3997">
        <v>155</v>
      </c>
      <c r="D3997" t="s">
        <v>201</v>
      </c>
      <c r="E3997">
        <v>2624</v>
      </c>
      <c r="F3997" s="1">
        <v>2.3599999999999999E-2</v>
      </c>
      <c r="G3997" s="1">
        <v>1.04E-2</v>
      </c>
      <c r="H3997" s="1">
        <v>0.85799999999999998</v>
      </c>
      <c r="I3997" s="1">
        <v>8.9999999999999998E-4</v>
      </c>
      <c r="K3997" s="1">
        <v>3.2399999999999998E-2</v>
      </c>
      <c r="L3997" s="1">
        <v>3.8600000000000002E-2</v>
      </c>
      <c r="M3997" s="1">
        <v>7.5999999999999998E-2</v>
      </c>
    </row>
    <row r="3998" spans="1:13" s="29" customFormat="1" x14ac:dyDescent="0.25">
      <c r="A3998" s="29" t="s">
        <v>198</v>
      </c>
      <c r="B3998" s="29" t="s">
        <v>228</v>
      </c>
      <c r="C3998" s="29">
        <v>27</v>
      </c>
      <c r="D3998" s="29" t="s">
        <v>202</v>
      </c>
      <c r="E3998" s="29">
        <v>2624</v>
      </c>
      <c r="F3998" s="30">
        <v>1.15E-2</v>
      </c>
      <c r="G3998" s="30">
        <v>0.18729999999999999</v>
      </c>
      <c r="H3998" s="30">
        <v>0.7581</v>
      </c>
      <c r="K3998" s="30">
        <v>0.18729999999999999</v>
      </c>
      <c r="L3998" s="30">
        <v>0.18729999999999999</v>
      </c>
      <c r="M3998" s="30">
        <v>0.23039999999999999</v>
      </c>
    </row>
    <row r="3999" spans="1:13" x14ac:dyDescent="0.25">
      <c r="A3999" t="s">
        <v>198</v>
      </c>
      <c r="B3999" t="s">
        <v>229</v>
      </c>
      <c r="C3999">
        <v>68</v>
      </c>
      <c r="D3999" t="s">
        <v>202</v>
      </c>
      <c r="E3999">
        <v>2624</v>
      </c>
      <c r="F3999" s="1">
        <v>0.02</v>
      </c>
      <c r="G3999" s="1">
        <v>1.38E-2</v>
      </c>
      <c r="H3999" s="1">
        <v>0.96619999999999995</v>
      </c>
      <c r="K3999" s="1">
        <v>1.38E-2</v>
      </c>
      <c r="L3999" s="1">
        <v>1.38E-2</v>
      </c>
      <c r="M3999" s="1">
        <v>1.38E-2</v>
      </c>
    </row>
    <row r="4000" spans="1:13" x14ac:dyDescent="0.25">
      <c r="A4000" t="s">
        <v>203</v>
      </c>
      <c r="B4000" t="s">
        <v>229</v>
      </c>
      <c r="C4000">
        <v>369</v>
      </c>
      <c r="D4000" t="s">
        <v>199</v>
      </c>
      <c r="E4000">
        <v>2624</v>
      </c>
      <c r="G4000" s="1">
        <v>8.3999999999999995E-3</v>
      </c>
      <c r="H4000" s="1">
        <v>0.80320000000000003</v>
      </c>
      <c r="I4000" s="1">
        <v>1.44E-2</v>
      </c>
      <c r="K4000" s="1">
        <v>3.1699999999999999E-2</v>
      </c>
      <c r="L4000" s="1">
        <v>3.7699999999999997E-2</v>
      </c>
      <c r="M4000" s="1">
        <v>0.17760000000000001</v>
      </c>
    </row>
    <row r="4001" spans="1:13" x14ac:dyDescent="0.25">
      <c r="A4001" t="s">
        <v>203</v>
      </c>
      <c r="B4001" t="s">
        <v>228</v>
      </c>
      <c r="C4001">
        <v>149</v>
      </c>
      <c r="D4001" t="s">
        <v>199</v>
      </c>
      <c r="E4001">
        <v>2624</v>
      </c>
      <c r="G4001" s="1">
        <v>0.1724</v>
      </c>
      <c r="H4001" s="1">
        <v>0.71060000000000001</v>
      </c>
      <c r="I4001" s="1">
        <v>1.8200000000000001E-2</v>
      </c>
      <c r="K4001" s="1">
        <v>0.21870000000000001</v>
      </c>
      <c r="L4001" s="1">
        <v>0.18479999999999999</v>
      </c>
      <c r="M4001" s="1">
        <v>0.23860000000000001</v>
      </c>
    </row>
    <row r="4002" spans="1:13" x14ac:dyDescent="0.25">
      <c r="A4002" t="s">
        <v>203</v>
      </c>
      <c r="B4002" t="s">
        <v>229</v>
      </c>
      <c r="C4002">
        <v>346</v>
      </c>
      <c r="D4002" t="s">
        <v>200</v>
      </c>
      <c r="E4002">
        <v>2624</v>
      </c>
      <c r="G4002" s="1">
        <v>1.9E-2</v>
      </c>
      <c r="H4002" s="1">
        <v>0.9365</v>
      </c>
      <c r="I4002" s="1">
        <v>1.2999999999999999E-3</v>
      </c>
      <c r="J4002" s="1">
        <v>5.9999999999999995E-4</v>
      </c>
      <c r="K4002" s="1">
        <v>2.01E-2</v>
      </c>
      <c r="L4002" s="1">
        <v>3.3599999999999998E-2</v>
      </c>
      <c r="M4002" s="1">
        <v>4.3099999999999999E-2</v>
      </c>
    </row>
    <row r="4003" spans="1:13" x14ac:dyDescent="0.25">
      <c r="A4003" t="s">
        <v>203</v>
      </c>
      <c r="B4003" t="s">
        <v>228</v>
      </c>
      <c r="C4003">
        <v>153</v>
      </c>
      <c r="D4003" t="s">
        <v>200</v>
      </c>
      <c r="E4003">
        <v>2624</v>
      </c>
      <c r="G4003" s="1">
        <v>0.1023</v>
      </c>
      <c r="H4003" s="1">
        <v>0.85680000000000001</v>
      </c>
      <c r="I4003" s="1">
        <v>5.9999999999999995E-4</v>
      </c>
      <c r="K4003" s="1">
        <v>7.8700000000000006E-2</v>
      </c>
      <c r="L4003" s="1">
        <v>0.10349999999999999</v>
      </c>
      <c r="M4003" s="1">
        <v>0.11700000000000001</v>
      </c>
    </row>
    <row r="4004" spans="1:13" x14ac:dyDescent="0.25">
      <c r="A4004" t="s">
        <v>203</v>
      </c>
      <c r="B4004" t="s">
        <v>229</v>
      </c>
      <c r="C4004">
        <v>137</v>
      </c>
      <c r="D4004" t="s">
        <v>201</v>
      </c>
      <c r="E4004">
        <v>2624</v>
      </c>
      <c r="G4004" s="1">
        <v>1.7399999999999999E-2</v>
      </c>
      <c r="H4004" s="1">
        <v>0.90280000000000005</v>
      </c>
      <c r="I4004" s="1">
        <v>1.5299999999999999E-2</v>
      </c>
      <c r="K4004" s="1">
        <v>2.5600000000000001E-2</v>
      </c>
      <c r="L4004" s="1">
        <v>8.6E-3</v>
      </c>
      <c r="M4004" s="1">
        <v>7.9500000000000001E-2</v>
      </c>
    </row>
    <row r="4005" spans="1:13" x14ac:dyDescent="0.25">
      <c r="A4005" t="s">
        <v>203</v>
      </c>
      <c r="B4005" t="s">
        <v>228</v>
      </c>
      <c r="C4005">
        <v>176</v>
      </c>
      <c r="D4005" t="s">
        <v>201</v>
      </c>
      <c r="E4005">
        <v>2624</v>
      </c>
      <c r="F4005" s="1">
        <v>4.8999999999999998E-3</v>
      </c>
      <c r="G4005" s="1">
        <v>0.1943</v>
      </c>
      <c r="H4005" s="1">
        <v>0.69130000000000003</v>
      </c>
      <c r="I4005" s="1">
        <v>3.3E-3</v>
      </c>
      <c r="J4005" s="1">
        <v>8.0000000000000004E-4</v>
      </c>
      <c r="K4005" s="1">
        <v>0.21360000000000001</v>
      </c>
      <c r="L4005" s="1">
        <v>0.19009999999999999</v>
      </c>
      <c r="M4005" s="1">
        <v>0.2606</v>
      </c>
    </row>
    <row r="4006" spans="1:13" x14ac:dyDescent="0.25">
      <c r="A4006" t="s">
        <v>203</v>
      </c>
      <c r="B4006" t="s">
        <v>228</v>
      </c>
      <c r="C4006">
        <v>34</v>
      </c>
      <c r="D4006" t="s">
        <v>202</v>
      </c>
      <c r="E4006">
        <v>2624</v>
      </c>
      <c r="H4006" s="1">
        <v>1</v>
      </c>
    </row>
    <row r="4007" spans="1:13" x14ac:dyDescent="0.25">
      <c r="A4007" t="s">
        <v>203</v>
      </c>
      <c r="B4007" t="s">
        <v>229</v>
      </c>
      <c r="C4007">
        <v>56</v>
      </c>
      <c r="D4007" t="s">
        <v>202</v>
      </c>
      <c r="E4007">
        <v>2624</v>
      </c>
      <c r="G4007" s="1">
        <v>1.2200000000000001E-2</v>
      </c>
      <c r="H4007" s="1">
        <v>0.97550000000000003</v>
      </c>
      <c r="K4007" s="1">
        <v>1.2200000000000001E-2</v>
      </c>
      <c r="M4007" s="1">
        <v>2.4500000000000001E-2</v>
      </c>
    </row>
    <row r="4008" spans="1:13" x14ac:dyDescent="0.25">
      <c r="A4008" t="s">
        <v>204</v>
      </c>
      <c r="B4008" t="s">
        <v>204</v>
      </c>
      <c r="C4008">
        <v>2624</v>
      </c>
      <c r="D4008" t="s">
        <v>204</v>
      </c>
      <c r="E4008">
        <v>2624</v>
      </c>
      <c r="F4008" s="1">
        <v>9.1999999999999998E-3</v>
      </c>
      <c r="G4008" s="1">
        <v>2.69E-2</v>
      </c>
      <c r="H4008" s="1">
        <v>0.90149999999999997</v>
      </c>
      <c r="I4008" s="1">
        <v>3.8E-3</v>
      </c>
      <c r="J4008" s="1">
        <v>4.0000000000000002E-4</v>
      </c>
      <c r="K4008" s="1">
        <v>3.4599999999999999E-2</v>
      </c>
      <c r="L4008" s="1">
        <v>3.6400000000000002E-2</v>
      </c>
      <c r="M4008" s="1">
        <v>7.22E-2</v>
      </c>
    </row>
    <row r="4010" spans="1:13" x14ac:dyDescent="0.25">
      <c r="A4010" t="s">
        <v>942</v>
      </c>
    </row>
    <row r="4011" spans="1:13" x14ac:dyDescent="0.25">
      <c r="A4011" t="s">
        <v>190</v>
      </c>
      <c r="B4011" t="s">
        <v>206</v>
      </c>
      <c r="C4011" t="s">
        <v>195</v>
      </c>
      <c r="D4011" t="s">
        <v>189</v>
      </c>
      <c r="E4011" t="s">
        <v>196</v>
      </c>
      <c r="F4011" t="s">
        <v>220</v>
      </c>
      <c r="G4011" t="s">
        <v>937</v>
      </c>
      <c r="H4011" t="s">
        <v>271</v>
      </c>
      <c r="I4011" t="s">
        <v>235</v>
      </c>
      <c r="J4011" t="s">
        <v>215</v>
      </c>
      <c r="K4011" t="s">
        <v>938</v>
      </c>
      <c r="L4011" t="s">
        <v>939</v>
      </c>
      <c r="M4011" t="s">
        <v>940</v>
      </c>
    </row>
    <row r="4012" spans="1:13" x14ac:dyDescent="0.25">
      <c r="A4012" t="s">
        <v>198</v>
      </c>
      <c r="B4012" t="s">
        <v>348</v>
      </c>
      <c r="C4012">
        <v>79</v>
      </c>
      <c r="D4012" t="s">
        <v>197</v>
      </c>
      <c r="E4012">
        <v>2624</v>
      </c>
      <c r="G4012" s="1">
        <v>1.4200000000000001E-2</v>
      </c>
      <c r="H4012" s="1">
        <v>0.96009999999999995</v>
      </c>
      <c r="K4012" s="1">
        <v>2.5600000000000001E-2</v>
      </c>
      <c r="L4012" s="1">
        <v>1.4200000000000001E-2</v>
      </c>
      <c r="M4012" s="1">
        <v>2.8400000000000002E-2</v>
      </c>
    </row>
    <row r="4013" spans="1:13" s="29" customFormat="1" x14ac:dyDescent="0.25">
      <c r="A4013" s="29" t="s">
        <v>198</v>
      </c>
      <c r="B4013" s="29" t="s">
        <v>349</v>
      </c>
      <c r="C4013" s="29">
        <v>3</v>
      </c>
      <c r="D4013" s="29" t="s">
        <v>197</v>
      </c>
      <c r="E4013" s="29">
        <v>2624</v>
      </c>
      <c r="H4013" s="30">
        <v>1</v>
      </c>
    </row>
    <row r="4014" spans="1:13" x14ac:dyDescent="0.25">
      <c r="A4014" t="s">
        <v>198</v>
      </c>
      <c r="B4014" t="s">
        <v>348</v>
      </c>
      <c r="C4014">
        <v>54</v>
      </c>
      <c r="D4014" t="s">
        <v>199</v>
      </c>
      <c r="E4014">
        <v>2624</v>
      </c>
      <c r="F4014" s="1">
        <v>3.8E-3</v>
      </c>
      <c r="H4014" s="1">
        <v>0.91010000000000002</v>
      </c>
      <c r="K4014" s="1">
        <v>7.1400000000000005E-2</v>
      </c>
      <c r="L4014" s="1">
        <v>7.1400000000000005E-2</v>
      </c>
      <c r="M4014" s="1">
        <v>8.6099999999999996E-2</v>
      </c>
    </row>
    <row r="4015" spans="1:13" x14ac:dyDescent="0.25">
      <c r="A4015" t="s">
        <v>198</v>
      </c>
      <c r="B4015" t="s">
        <v>349</v>
      </c>
      <c r="C4015">
        <v>110</v>
      </c>
      <c r="D4015" t="s">
        <v>199</v>
      </c>
      <c r="E4015">
        <v>2624</v>
      </c>
      <c r="F4015" s="1">
        <v>5.2900000000000003E-2</v>
      </c>
      <c r="G4015" s="1">
        <v>9.7000000000000003E-3</v>
      </c>
      <c r="H4015" s="1">
        <v>0.91639999999999999</v>
      </c>
      <c r="K4015" s="1">
        <v>1.2800000000000001E-2</v>
      </c>
      <c r="L4015" s="1">
        <v>7.7999999999999996E-3</v>
      </c>
      <c r="M4015" s="1">
        <v>2.29E-2</v>
      </c>
    </row>
    <row r="4016" spans="1:13" x14ac:dyDescent="0.25">
      <c r="A4016" t="s">
        <v>198</v>
      </c>
      <c r="B4016" t="s">
        <v>350</v>
      </c>
      <c r="C4016">
        <v>192</v>
      </c>
      <c r="D4016" t="s">
        <v>199</v>
      </c>
      <c r="E4016">
        <v>2624</v>
      </c>
      <c r="F4016" s="1">
        <v>4.7699999999999999E-2</v>
      </c>
      <c r="G4016" s="1">
        <v>1.14E-2</v>
      </c>
      <c r="H4016" s="1">
        <v>0.8861</v>
      </c>
      <c r="I4016" s="1">
        <v>3.5999999999999999E-3</v>
      </c>
      <c r="K4016" s="1">
        <v>3.1699999999999999E-2</v>
      </c>
      <c r="L4016" s="1">
        <v>1.49E-2</v>
      </c>
      <c r="M4016" s="1">
        <v>5.2900000000000003E-2</v>
      </c>
    </row>
    <row r="4017" spans="1:13" x14ac:dyDescent="0.25">
      <c r="A4017" t="s">
        <v>198</v>
      </c>
      <c r="B4017" t="s">
        <v>350</v>
      </c>
      <c r="C4017">
        <v>78</v>
      </c>
      <c r="D4017" t="s">
        <v>200</v>
      </c>
      <c r="E4017">
        <v>2624</v>
      </c>
      <c r="G4017" s="1">
        <v>2.41E-2</v>
      </c>
      <c r="H4017" s="1">
        <v>0.9194</v>
      </c>
      <c r="K4017" s="1">
        <v>5.3699999999999998E-2</v>
      </c>
      <c r="L4017" s="1">
        <v>4.48E-2</v>
      </c>
      <c r="M4017" s="1">
        <v>7.17E-2</v>
      </c>
    </row>
    <row r="4018" spans="1:13" x14ac:dyDescent="0.25">
      <c r="A4018" t="s">
        <v>198</v>
      </c>
      <c r="B4018" t="s">
        <v>348</v>
      </c>
      <c r="C4018">
        <v>242</v>
      </c>
      <c r="D4018" t="s">
        <v>200</v>
      </c>
      <c r="E4018">
        <v>2624</v>
      </c>
      <c r="F4018" s="1">
        <v>1.01E-2</v>
      </c>
      <c r="G4018" s="1">
        <v>1.06E-2</v>
      </c>
      <c r="H4018" s="1">
        <v>0.9304</v>
      </c>
      <c r="I4018" s="1">
        <v>5.3E-3</v>
      </c>
      <c r="J4018" s="1">
        <v>2E-3</v>
      </c>
      <c r="K4018" s="1">
        <v>9.7000000000000003E-3</v>
      </c>
      <c r="L4018" s="1">
        <v>1.17E-2</v>
      </c>
      <c r="M4018" s="1">
        <v>3.95E-2</v>
      </c>
    </row>
    <row r="4019" spans="1:13" x14ac:dyDescent="0.25">
      <c r="A4019" t="s">
        <v>198</v>
      </c>
      <c r="B4019" t="s">
        <v>349</v>
      </c>
      <c r="C4019">
        <v>62</v>
      </c>
      <c r="D4019" t="s">
        <v>200</v>
      </c>
      <c r="E4019">
        <v>2624</v>
      </c>
      <c r="H4019" s="1">
        <v>0.93579999999999997</v>
      </c>
      <c r="K4019" s="1">
        <v>1.4200000000000001E-2</v>
      </c>
      <c r="L4019" s="1">
        <v>1.0800000000000001E-2</v>
      </c>
      <c r="M4019" s="1">
        <v>3.9100000000000003E-2</v>
      </c>
    </row>
    <row r="4020" spans="1:13" x14ac:dyDescent="0.25">
      <c r="A4020" t="s">
        <v>198</v>
      </c>
      <c r="B4020" t="s">
        <v>349</v>
      </c>
      <c r="C4020">
        <v>125</v>
      </c>
      <c r="D4020" t="s">
        <v>201</v>
      </c>
      <c r="E4020">
        <v>2624</v>
      </c>
      <c r="F4020" s="1">
        <v>1.3599999999999999E-2</v>
      </c>
      <c r="G4020" s="1">
        <v>1.7299999999999999E-2</v>
      </c>
      <c r="H4020" s="1">
        <v>0.83799999999999997</v>
      </c>
      <c r="K4020" s="1">
        <v>4.3900000000000002E-2</v>
      </c>
      <c r="L4020" s="1">
        <v>3.8399999999999997E-2</v>
      </c>
      <c r="M4020" s="1">
        <v>9.5000000000000001E-2</v>
      </c>
    </row>
    <row r="4021" spans="1:13" x14ac:dyDescent="0.25">
      <c r="A4021" t="s">
        <v>198</v>
      </c>
      <c r="B4021" t="s">
        <v>350</v>
      </c>
      <c r="C4021">
        <v>63</v>
      </c>
      <c r="D4021" t="s">
        <v>201</v>
      </c>
      <c r="E4021">
        <v>2624</v>
      </c>
      <c r="F4021" s="1">
        <v>6.8999999999999999E-3</v>
      </c>
      <c r="G4021" s="1">
        <v>0.1061</v>
      </c>
      <c r="H4021" s="1">
        <v>0.60519999999999996</v>
      </c>
      <c r="I4021" s="1">
        <v>2.1600000000000001E-2</v>
      </c>
      <c r="K4021" s="1">
        <v>0.1641</v>
      </c>
      <c r="L4021" s="1">
        <v>0.107</v>
      </c>
      <c r="M4021" s="1">
        <v>0.34449999999999997</v>
      </c>
    </row>
    <row r="4022" spans="1:13" x14ac:dyDescent="0.25">
      <c r="A4022" t="s">
        <v>198</v>
      </c>
      <c r="B4022" t="s">
        <v>348</v>
      </c>
      <c r="C4022">
        <v>62</v>
      </c>
      <c r="D4022" t="s">
        <v>201</v>
      </c>
      <c r="E4022">
        <v>2624</v>
      </c>
      <c r="F4022" s="1">
        <v>3.4799999999999998E-2</v>
      </c>
      <c r="G4022" s="1">
        <v>1.1999999999999999E-3</v>
      </c>
      <c r="H4022" s="1">
        <v>0.93410000000000004</v>
      </c>
      <c r="K4022" s="1">
        <v>3.1E-2</v>
      </c>
      <c r="L4022" s="1">
        <v>1.1299999999999999E-2</v>
      </c>
      <c r="M4022" s="1">
        <v>2.6200000000000001E-2</v>
      </c>
    </row>
    <row r="4023" spans="1:13" x14ac:dyDescent="0.25">
      <c r="A4023" t="s">
        <v>198</v>
      </c>
      <c r="B4023" t="s">
        <v>348</v>
      </c>
      <c r="C4023">
        <v>95</v>
      </c>
      <c r="D4023" t="s">
        <v>202</v>
      </c>
      <c r="E4023">
        <v>2624</v>
      </c>
      <c r="F4023" s="1">
        <v>1.8100000000000002E-2</v>
      </c>
      <c r="G4023" s="1">
        <v>5.2600000000000001E-2</v>
      </c>
      <c r="H4023" s="1">
        <v>0.91959999999999997</v>
      </c>
      <c r="K4023" s="1">
        <v>5.2600000000000001E-2</v>
      </c>
      <c r="L4023" s="1">
        <v>5.2600000000000001E-2</v>
      </c>
      <c r="M4023" s="1">
        <v>6.2300000000000001E-2</v>
      </c>
    </row>
    <row r="4024" spans="1:13" x14ac:dyDescent="0.25">
      <c r="A4024" t="s">
        <v>203</v>
      </c>
      <c r="B4024" t="s">
        <v>349</v>
      </c>
      <c r="C4024">
        <v>170</v>
      </c>
      <c r="D4024" t="s">
        <v>199</v>
      </c>
      <c r="E4024">
        <v>2624</v>
      </c>
      <c r="G4024" s="1">
        <v>2.5999999999999999E-2</v>
      </c>
      <c r="H4024" s="1">
        <v>0.90290000000000004</v>
      </c>
      <c r="I4024" s="1">
        <v>9.1999999999999998E-3</v>
      </c>
      <c r="K4024" s="1">
        <v>4.6100000000000002E-2</v>
      </c>
      <c r="L4024" s="1">
        <v>4.0800000000000003E-2</v>
      </c>
      <c r="M4024" s="1">
        <v>5.9499999999999997E-2</v>
      </c>
    </row>
    <row r="4025" spans="1:13" x14ac:dyDescent="0.25">
      <c r="A4025" t="s">
        <v>203</v>
      </c>
      <c r="B4025" t="s">
        <v>348</v>
      </c>
      <c r="C4025">
        <v>42</v>
      </c>
      <c r="D4025" t="s">
        <v>199</v>
      </c>
      <c r="E4025">
        <v>2624</v>
      </c>
      <c r="H4025" s="1">
        <v>0.87490000000000001</v>
      </c>
      <c r="K4025" s="1">
        <v>3.1800000000000002E-2</v>
      </c>
      <c r="M4025" s="1">
        <v>0.12509999999999999</v>
      </c>
    </row>
    <row r="4026" spans="1:13" x14ac:dyDescent="0.25">
      <c r="A4026" t="s">
        <v>203</v>
      </c>
      <c r="B4026" t="s">
        <v>350</v>
      </c>
      <c r="C4026">
        <v>306</v>
      </c>
      <c r="D4026" t="s">
        <v>199</v>
      </c>
      <c r="E4026">
        <v>2624</v>
      </c>
      <c r="G4026" s="1">
        <v>2.7E-2</v>
      </c>
      <c r="H4026" s="1">
        <v>0.73199999999999998</v>
      </c>
      <c r="I4026" s="1">
        <v>1.8700000000000001E-2</v>
      </c>
      <c r="K4026" s="1">
        <v>5.5300000000000002E-2</v>
      </c>
      <c r="L4026" s="1">
        <v>6.3E-2</v>
      </c>
      <c r="M4026" s="1">
        <v>0.25159999999999999</v>
      </c>
    </row>
    <row r="4027" spans="1:13" x14ac:dyDescent="0.25">
      <c r="A4027" t="s">
        <v>203</v>
      </c>
      <c r="B4027" t="s">
        <v>348</v>
      </c>
      <c r="C4027">
        <v>298</v>
      </c>
      <c r="D4027" t="s">
        <v>200</v>
      </c>
      <c r="E4027">
        <v>2624</v>
      </c>
      <c r="G4027" s="1">
        <v>3.5400000000000001E-2</v>
      </c>
      <c r="H4027" s="1">
        <v>0.9325</v>
      </c>
      <c r="K4027" s="1">
        <v>2.7699999999999999E-2</v>
      </c>
      <c r="L4027" s="1">
        <v>4.7500000000000001E-2</v>
      </c>
      <c r="M4027" s="1">
        <v>4.9500000000000002E-2</v>
      </c>
    </row>
    <row r="4028" spans="1:13" x14ac:dyDescent="0.25">
      <c r="A4028" t="s">
        <v>203</v>
      </c>
      <c r="B4028" t="s">
        <v>349</v>
      </c>
      <c r="C4028">
        <v>108</v>
      </c>
      <c r="D4028" t="s">
        <v>200</v>
      </c>
      <c r="E4028">
        <v>2624</v>
      </c>
      <c r="G4028" s="1">
        <v>2.9600000000000001E-2</v>
      </c>
      <c r="H4028" s="1">
        <v>0.84219999999999995</v>
      </c>
      <c r="I4028" s="1">
        <v>6.4999999999999997E-3</v>
      </c>
      <c r="K4028" s="1">
        <v>5.0900000000000001E-2</v>
      </c>
      <c r="L4028" s="1">
        <v>3.6499999999999998E-2</v>
      </c>
      <c r="M4028" s="1">
        <v>0.11899999999999999</v>
      </c>
    </row>
    <row r="4029" spans="1:13" x14ac:dyDescent="0.25">
      <c r="A4029" t="s">
        <v>203</v>
      </c>
      <c r="B4029" t="s">
        <v>350</v>
      </c>
      <c r="C4029">
        <v>93</v>
      </c>
      <c r="D4029" t="s">
        <v>200</v>
      </c>
      <c r="E4029">
        <v>2624</v>
      </c>
      <c r="G4029" s="1">
        <v>3.49E-2</v>
      </c>
      <c r="H4029" s="1">
        <v>0.8155</v>
      </c>
      <c r="I4029" s="1">
        <v>1.9199999999999998E-2</v>
      </c>
      <c r="J4029" s="1">
        <v>1.5699999999999999E-2</v>
      </c>
      <c r="K4029" s="1">
        <v>7.8799999999999995E-2</v>
      </c>
      <c r="L4029" s="1">
        <v>5.7599999999999998E-2</v>
      </c>
      <c r="M4029" s="1">
        <v>0.11269999999999999</v>
      </c>
    </row>
    <row r="4030" spans="1:13" x14ac:dyDescent="0.25">
      <c r="A4030" t="s">
        <v>203</v>
      </c>
      <c r="B4030" t="s">
        <v>348</v>
      </c>
      <c r="C4030">
        <v>62</v>
      </c>
      <c r="D4030" t="s">
        <v>201</v>
      </c>
      <c r="E4030">
        <v>2624</v>
      </c>
      <c r="G4030" s="1">
        <v>1.32E-2</v>
      </c>
      <c r="H4030" s="1">
        <v>0.97350000000000003</v>
      </c>
      <c r="K4030" s="1">
        <v>1.32E-2</v>
      </c>
      <c r="L4030" s="1">
        <v>2.6499999999999999E-2</v>
      </c>
      <c r="M4030" s="1">
        <v>2.6499999999999999E-2</v>
      </c>
    </row>
    <row r="4031" spans="1:13" x14ac:dyDescent="0.25">
      <c r="A4031" t="s">
        <v>203</v>
      </c>
      <c r="B4031" t="s">
        <v>349</v>
      </c>
      <c r="C4031">
        <v>147</v>
      </c>
      <c r="D4031" t="s">
        <v>201</v>
      </c>
      <c r="E4031">
        <v>2624</v>
      </c>
      <c r="G4031" s="1">
        <v>5.91E-2</v>
      </c>
      <c r="H4031" s="1">
        <v>0.87309999999999999</v>
      </c>
      <c r="I4031" s="1">
        <v>8.9999999999999993E-3</v>
      </c>
      <c r="J4031" s="1">
        <v>2.0000000000000001E-4</v>
      </c>
      <c r="K4031" s="1">
        <v>6.8000000000000005E-2</v>
      </c>
      <c r="L4031" s="1">
        <v>4.8300000000000003E-2</v>
      </c>
      <c r="M4031" s="1">
        <v>0.1101</v>
      </c>
    </row>
    <row r="4032" spans="1:13" x14ac:dyDescent="0.25">
      <c r="A4032" t="s">
        <v>203</v>
      </c>
      <c r="B4032" t="s">
        <v>350</v>
      </c>
      <c r="C4032">
        <v>104</v>
      </c>
      <c r="D4032" t="s">
        <v>201</v>
      </c>
      <c r="E4032">
        <v>2624</v>
      </c>
      <c r="F4032" s="1">
        <v>1.6299999999999999E-2</v>
      </c>
      <c r="G4032" s="1">
        <v>0.1386</v>
      </c>
      <c r="H4032" s="1">
        <v>0.42630000000000001</v>
      </c>
      <c r="I4032" s="1">
        <v>7.0599999999999996E-2</v>
      </c>
      <c r="K4032" s="1">
        <v>0.189</v>
      </c>
      <c r="L4032" s="1">
        <v>0.1338</v>
      </c>
      <c r="M4032" s="1">
        <v>0.41689999999999999</v>
      </c>
    </row>
    <row r="4033" spans="1:13" x14ac:dyDescent="0.25">
      <c r="A4033" t="s">
        <v>203</v>
      </c>
      <c r="B4033" t="s">
        <v>348</v>
      </c>
      <c r="C4033">
        <v>90</v>
      </c>
      <c r="D4033" t="s">
        <v>202</v>
      </c>
      <c r="E4033">
        <v>2624</v>
      </c>
      <c r="G4033" s="1">
        <v>8.8000000000000005E-3</v>
      </c>
      <c r="H4033" s="1">
        <v>0.98250000000000004</v>
      </c>
      <c r="K4033" s="1">
        <v>8.8000000000000005E-3</v>
      </c>
      <c r="M4033" s="1">
        <v>1.7500000000000002E-2</v>
      </c>
    </row>
    <row r="4034" spans="1:13" x14ac:dyDescent="0.25">
      <c r="A4034" t="s">
        <v>204</v>
      </c>
      <c r="B4034" t="s">
        <v>204</v>
      </c>
      <c r="C4034">
        <v>2624</v>
      </c>
      <c r="D4034" t="s">
        <v>204</v>
      </c>
      <c r="E4034">
        <v>2624</v>
      </c>
      <c r="F4034" s="1">
        <v>9.1999999999999998E-3</v>
      </c>
      <c r="G4034" s="1">
        <v>2.69E-2</v>
      </c>
      <c r="H4034" s="1">
        <v>0.90149999999999997</v>
      </c>
      <c r="I4034" s="1">
        <v>3.8E-3</v>
      </c>
      <c r="J4034" s="1">
        <v>4.0000000000000002E-4</v>
      </c>
      <c r="K4034" s="1">
        <v>3.4599999999999999E-2</v>
      </c>
      <c r="L4034" s="1">
        <v>3.6400000000000002E-2</v>
      </c>
      <c r="M4034" s="1">
        <v>7.22E-2</v>
      </c>
    </row>
    <row r="4036" spans="1:13" x14ac:dyDescent="0.25">
      <c r="A4036" t="s">
        <v>943</v>
      </c>
    </row>
    <row r="4037" spans="1:13" x14ac:dyDescent="0.25">
      <c r="A4037" t="s">
        <v>190</v>
      </c>
      <c r="B4037" t="s">
        <v>195</v>
      </c>
      <c r="C4037" t="s">
        <v>189</v>
      </c>
      <c r="D4037" t="s">
        <v>196</v>
      </c>
      <c r="E4037" t="s">
        <v>944</v>
      </c>
      <c r="F4037" t="s">
        <v>220</v>
      </c>
      <c r="G4037" t="s">
        <v>945</v>
      </c>
      <c r="H4037" t="s">
        <v>946</v>
      </c>
      <c r="I4037" t="s">
        <v>947</v>
      </c>
      <c r="J4037" t="s">
        <v>948</v>
      </c>
      <c r="K4037" t="s">
        <v>215</v>
      </c>
    </row>
    <row r="4038" spans="1:13" s="29" customFormat="1" x14ac:dyDescent="0.25">
      <c r="A4038" s="29" t="s">
        <v>198</v>
      </c>
      <c r="B4038" s="29">
        <v>3</v>
      </c>
      <c r="C4038" s="29" t="s">
        <v>197</v>
      </c>
      <c r="D4038" s="29">
        <v>535</v>
      </c>
      <c r="E4038" s="30">
        <v>0.35680000000000001</v>
      </c>
      <c r="F4038" s="30">
        <v>0.28639999999999999</v>
      </c>
      <c r="G4038" s="30">
        <v>0.35680000000000001</v>
      </c>
    </row>
    <row r="4039" spans="1:13" x14ac:dyDescent="0.25">
      <c r="A4039" t="s">
        <v>198</v>
      </c>
      <c r="B4039">
        <v>52</v>
      </c>
      <c r="C4039" t="s">
        <v>199</v>
      </c>
      <c r="D4039">
        <v>535</v>
      </c>
      <c r="E4039" s="1">
        <v>6.0000000000000001E-3</v>
      </c>
      <c r="G4039" s="1">
        <v>6.8199999999999997E-2</v>
      </c>
      <c r="H4039" s="1">
        <v>0.45910000000000001</v>
      </c>
      <c r="I4039" s="1">
        <v>0.14610000000000001</v>
      </c>
      <c r="J4039" s="1">
        <v>0.32069999999999999</v>
      </c>
    </row>
    <row r="4040" spans="1:13" s="29" customFormat="1" x14ac:dyDescent="0.25">
      <c r="A4040" s="29" t="s">
        <v>198</v>
      </c>
      <c r="B4040" s="29">
        <v>28</v>
      </c>
      <c r="C4040" s="29" t="s">
        <v>200</v>
      </c>
      <c r="D4040" s="29">
        <v>535</v>
      </c>
      <c r="G4040" s="30">
        <v>0.17680000000000001</v>
      </c>
      <c r="H4040" s="30">
        <v>0.18240000000000001</v>
      </c>
      <c r="I4040" s="30">
        <v>0.25769999999999998</v>
      </c>
      <c r="J4040" s="30">
        <v>0.3831</v>
      </c>
    </row>
    <row r="4041" spans="1:13" x14ac:dyDescent="0.25">
      <c r="A4041" t="s">
        <v>198</v>
      </c>
      <c r="B4041">
        <v>55</v>
      </c>
      <c r="C4041" t="s">
        <v>201</v>
      </c>
      <c r="D4041">
        <v>535</v>
      </c>
      <c r="E4041" s="1">
        <v>2.7400000000000001E-2</v>
      </c>
      <c r="F4041" s="1">
        <v>4.8999999999999998E-3</v>
      </c>
      <c r="G4041" s="1">
        <v>0.14019999999999999</v>
      </c>
      <c r="H4041" s="1">
        <v>0.38950000000000001</v>
      </c>
      <c r="I4041" s="1">
        <v>0.22040000000000001</v>
      </c>
      <c r="J4041" s="1">
        <v>0.21759999999999999</v>
      </c>
    </row>
    <row r="4042" spans="1:13" s="29" customFormat="1" x14ac:dyDescent="0.25">
      <c r="A4042" s="29" t="s">
        <v>198</v>
      </c>
      <c r="B4042" s="29">
        <v>7</v>
      </c>
      <c r="C4042" s="29" t="s">
        <v>202</v>
      </c>
      <c r="D4042" s="29">
        <v>535</v>
      </c>
      <c r="E4042" s="30">
        <v>0.34300000000000003</v>
      </c>
      <c r="H4042" s="30">
        <v>0.53439999999999999</v>
      </c>
      <c r="J4042" s="30">
        <v>0.1226</v>
      </c>
    </row>
    <row r="4043" spans="1:13" x14ac:dyDescent="0.25">
      <c r="A4043" t="s">
        <v>203</v>
      </c>
      <c r="B4043">
        <v>179</v>
      </c>
      <c r="C4043" t="s">
        <v>199</v>
      </c>
      <c r="D4043">
        <v>535</v>
      </c>
      <c r="E4043" s="1">
        <v>3.2300000000000002E-2</v>
      </c>
      <c r="F4043" s="1">
        <v>5.0000000000000001E-4</v>
      </c>
      <c r="G4043" s="1">
        <v>0.17399999999999999</v>
      </c>
      <c r="H4043" s="1">
        <v>0.24759999999999999</v>
      </c>
      <c r="I4043" s="1">
        <v>0.2505</v>
      </c>
      <c r="J4043" s="1">
        <v>0.25430000000000003</v>
      </c>
      <c r="K4043" s="1">
        <v>4.0899999999999999E-2</v>
      </c>
    </row>
    <row r="4044" spans="1:13" x14ac:dyDescent="0.25">
      <c r="A4044" t="s">
        <v>203</v>
      </c>
      <c r="B4044">
        <v>69</v>
      </c>
      <c r="C4044" t="s">
        <v>200</v>
      </c>
      <c r="D4044">
        <v>535</v>
      </c>
      <c r="E4044" s="1">
        <v>0.14910000000000001</v>
      </c>
      <c r="G4044" s="1">
        <v>8.1699999999999995E-2</v>
      </c>
      <c r="H4044" s="1">
        <v>0.2283</v>
      </c>
      <c r="I4044" s="1">
        <v>0.34720000000000001</v>
      </c>
      <c r="J4044" s="1">
        <v>0.1875</v>
      </c>
      <c r="K4044" s="1">
        <v>6.3E-3</v>
      </c>
    </row>
    <row r="4045" spans="1:13" x14ac:dyDescent="0.25">
      <c r="A4045" t="s">
        <v>203</v>
      </c>
      <c r="B4045">
        <v>140</v>
      </c>
      <c r="C4045" t="s">
        <v>201</v>
      </c>
      <c r="D4045">
        <v>535</v>
      </c>
      <c r="E4045" s="1">
        <v>2.5399999999999999E-2</v>
      </c>
      <c r="F4045" s="1">
        <v>7.9000000000000008E-3</v>
      </c>
      <c r="G4045" s="1">
        <v>0.1537</v>
      </c>
      <c r="H4045" s="1">
        <v>0.216</v>
      </c>
      <c r="I4045" s="1">
        <v>0.25309999999999999</v>
      </c>
      <c r="J4045" s="1">
        <v>0.33600000000000002</v>
      </c>
      <c r="K4045" s="1">
        <v>7.9000000000000008E-3</v>
      </c>
    </row>
    <row r="4046" spans="1:13" s="29" customFormat="1" x14ac:dyDescent="0.25">
      <c r="A4046" s="29" t="s">
        <v>203</v>
      </c>
      <c r="B4046" s="29">
        <v>2</v>
      </c>
      <c r="C4046" s="29" t="s">
        <v>202</v>
      </c>
      <c r="D4046" s="29">
        <v>535</v>
      </c>
      <c r="G4046" s="30">
        <v>0.5</v>
      </c>
      <c r="H4046" s="30">
        <v>0.5</v>
      </c>
    </row>
    <row r="4047" spans="1:13" x14ac:dyDescent="0.25">
      <c r="A4047" t="s">
        <v>204</v>
      </c>
      <c r="B4047">
        <v>535</v>
      </c>
      <c r="C4047" t="s">
        <v>204</v>
      </c>
      <c r="D4047">
        <v>535</v>
      </c>
      <c r="E4047" s="1">
        <v>9.2200000000000004E-2</v>
      </c>
      <c r="F4047" s="1">
        <v>8.9999999999999993E-3</v>
      </c>
      <c r="G4047" s="1">
        <v>0.1313</v>
      </c>
      <c r="H4047" s="1">
        <v>0.27739999999999998</v>
      </c>
      <c r="I4047" s="1">
        <v>0.2389</v>
      </c>
      <c r="J4047" s="1">
        <v>0.23680000000000001</v>
      </c>
      <c r="K4047" s="1">
        <v>1.4500000000000001E-2</v>
      </c>
    </row>
    <row r="4049" spans="1:12" x14ac:dyDescent="0.25">
      <c r="A4049" t="s">
        <v>949</v>
      </c>
    </row>
    <row r="4050" spans="1:12" x14ac:dyDescent="0.25">
      <c r="A4050" t="s">
        <v>190</v>
      </c>
      <c r="B4050" t="s">
        <v>206</v>
      </c>
      <c r="C4050" t="s">
        <v>195</v>
      </c>
      <c r="D4050" t="s">
        <v>189</v>
      </c>
      <c r="E4050" t="s">
        <v>196</v>
      </c>
      <c r="F4050" t="s">
        <v>944</v>
      </c>
      <c r="G4050" t="s">
        <v>220</v>
      </c>
      <c r="H4050" t="s">
        <v>945</v>
      </c>
      <c r="I4050" t="s">
        <v>946</v>
      </c>
      <c r="J4050" t="s">
        <v>947</v>
      </c>
      <c r="K4050" t="s">
        <v>948</v>
      </c>
      <c r="L4050" t="s">
        <v>215</v>
      </c>
    </row>
    <row r="4051" spans="1:12" s="29" customFormat="1" x14ac:dyDescent="0.25">
      <c r="A4051" s="29" t="s">
        <v>198</v>
      </c>
      <c r="B4051" s="29" t="s">
        <v>228</v>
      </c>
      <c r="C4051" s="29">
        <v>1</v>
      </c>
      <c r="D4051" s="29" t="s">
        <v>197</v>
      </c>
      <c r="E4051" s="29">
        <v>535</v>
      </c>
      <c r="G4051" s="30">
        <v>1</v>
      </c>
    </row>
    <row r="4052" spans="1:12" s="29" customFormat="1" x14ac:dyDescent="0.25">
      <c r="A4052" s="29" t="s">
        <v>198</v>
      </c>
      <c r="B4052" s="29" t="s">
        <v>229</v>
      </c>
      <c r="C4052" s="29">
        <v>2</v>
      </c>
      <c r="D4052" s="29" t="s">
        <v>197</v>
      </c>
      <c r="E4052" s="29">
        <v>535</v>
      </c>
      <c r="F4052" s="30">
        <v>0.5</v>
      </c>
      <c r="H4052" s="30">
        <v>0.5</v>
      </c>
    </row>
    <row r="4053" spans="1:12" s="29" customFormat="1" x14ac:dyDescent="0.25">
      <c r="A4053" s="29" t="s">
        <v>198</v>
      </c>
      <c r="B4053" s="29" t="s">
        <v>228</v>
      </c>
      <c r="C4053" s="29">
        <v>22</v>
      </c>
      <c r="D4053" s="29" t="s">
        <v>199</v>
      </c>
      <c r="E4053" s="29">
        <v>535</v>
      </c>
      <c r="F4053" s="30">
        <v>1.6E-2</v>
      </c>
      <c r="H4053" s="30">
        <v>3.7400000000000003E-2</v>
      </c>
      <c r="I4053" s="30">
        <v>0.35089999999999999</v>
      </c>
      <c r="J4053" s="30">
        <v>0.13819999999999999</v>
      </c>
      <c r="K4053" s="30">
        <v>0.45750000000000002</v>
      </c>
    </row>
    <row r="4054" spans="1:12" s="29" customFormat="1" x14ac:dyDescent="0.25">
      <c r="A4054" s="29" t="s">
        <v>198</v>
      </c>
      <c r="B4054" s="29" t="s">
        <v>229</v>
      </c>
      <c r="C4054" s="29">
        <v>29</v>
      </c>
      <c r="D4054" s="29" t="s">
        <v>199</v>
      </c>
      <c r="E4054" s="29">
        <v>535</v>
      </c>
      <c r="H4054" s="30">
        <v>8.7300000000000003E-2</v>
      </c>
      <c r="I4054" s="30">
        <v>0.52829999999999999</v>
      </c>
      <c r="J4054" s="30">
        <v>0.14299999999999999</v>
      </c>
      <c r="K4054" s="30">
        <v>0.2414</v>
      </c>
    </row>
    <row r="4055" spans="1:12" s="29" customFormat="1" x14ac:dyDescent="0.25">
      <c r="A4055" s="29" t="s">
        <v>198</v>
      </c>
      <c r="B4055" s="29" t="s">
        <v>228</v>
      </c>
      <c r="C4055" s="29">
        <v>10</v>
      </c>
      <c r="D4055" s="29" t="s">
        <v>200</v>
      </c>
      <c r="E4055" s="29">
        <v>535</v>
      </c>
      <c r="H4055" s="30">
        <v>7.17E-2</v>
      </c>
      <c r="I4055" s="30">
        <v>0.45300000000000001</v>
      </c>
      <c r="J4055" s="30">
        <v>3.32E-2</v>
      </c>
      <c r="K4055" s="30">
        <v>0.44209999999999999</v>
      </c>
    </row>
    <row r="4056" spans="1:12" s="29" customFormat="1" x14ac:dyDescent="0.25">
      <c r="A4056" s="29" t="s">
        <v>198</v>
      </c>
      <c r="B4056" s="29" t="s">
        <v>229</v>
      </c>
      <c r="C4056" s="29">
        <v>16</v>
      </c>
      <c r="D4056" s="29" t="s">
        <v>200</v>
      </c>
      <c r="E4056" s="29">
        <v>535</v>
      </c>
      <c r="H4056" s="30">
        <v>0.27010000000000001</v>
      </c>
      <c r="I4056" s="30">
        <v>2.07E-2</v>
      </c>
      <c r="J4056" s="30">
        <v>0.44679999999999997</v>
      </c>
      <c r="K4056" s="30">
        <v>0.26240000000000002</v>
      </c>
    </row>
    <row r="4057" spans="1:12" s="29" customFormat="1" x14ac:dyDescent="0.25">
      <c r="A4057" s="29" t="s">
        <v>198</v>
      </c>
      <c r="B4057" s="29" t="s">
        <v>229</v>
      </c>
      <c r="C4057" s="29">
        <v>26</v>
      </c>
      <c r="D4057" s="29" t="s">
        <v>201</v>
      </c>
      <c r="E4057" s="29">
        <v>535</v>
      </c>
      <c r="F4057" s="30">
        <v>3.8399999999999997E-2</v>
      </c>
      <c r="H4057" s="30">
        <v>0.18579999999999999</v>
      </c>
      <c r="I4057" s="30">
        <v>0.36120000000000002</v>
      </c>
      <c r="J4057" s="30">
        <v>0.2319</v>
      </c>
      <c r="K4057" s="30">
        <v>0.1827</v>
      </c>
    </row>
    <row r="4058" spans="1:12" s="29" customFormat="1" x14ac:dyDescent="0.25">
      <c r="A4058" s="29" t="s">
        <v>198</v>
      </c>
      <c r="B4058" s="29" t="s">
        <v>228</v>
      </c>
      <c r="C4058" s="29">
        <v>26</v>
      </c>
      <c r="D4058" s="29" t="s">
        <v>201</v>
      </c>
      <c r="E4058" s="29">
        <v>535</v>
      </c>
      <c r="G4058" s="30">
        <v>1.78E-2</v>
      </c>
      <c r="H4058" s="30">
        <v>2.7699999999999999E-2</v>
      </c>
      <c r="I4058" s="30">
        <v>0.46789999999999998</v>
      </c>
      <c r="J4058" s="30">
        <v>0.17979999999999999</v>
      </c>
      <c r="K4058" s="30">
        <v>0.30690000000000001</v>
      </c>
    </row>
    <row r="4059" spans="1:12" s="29" customFormat="1" x14ac:dyDescent="0.25">
      <c r="A4059" s="29" t="s">
        <v>198</v>
      </c>
      <c r="B4059" s="29" t="s">
        <v>228</v>
      </c>
      <c r="C4059" s="29">
        <v>5</v>
      </c>
      <c r="D4059" s="29" t="s">
        <v>202</v>
      </c>
      <c r="E4059" s="29">
        <v>535</v>
      </c>
      <c r="F4059" s="30">
        <v>0.2394</v>
      </c>
      <c r="I4059" s="30">
        <v>0.61870000000000003</v>
      </c>
      <c r="K4059" s="30">
        <v>0.1419</v>
      </c>
    </row>
    <row r="4060" spans="1:12" s="29" customFormat="1" x14ac:dyDescent="0.25">
      <c r="A4060" s="29" t="s">
        <v>198</v>
      </c>
      <c r="B4060" s="29" t="s">
        <v>229</v>
      </c>
      <c r="C4060" s="29">
        <v>2</v>
      </c>
      <c r="D4060" s="29" t="s">
        <v>202</v>
      </c>
      <c r="E4060" s="29">
        <v>535</v>
      </c>
      <c r="F4060" s="30">
        <v>1</v>
      </c>
    </row>
    <row r="4061" spans="1:12" x14ac:dyDescent="0.25">
      <c r="A4061" t="s">
        <v>203</v>
      </c>
      <c r="B4061" t="s">
        <v>229</v>
      </c>
      <c r="C4061">
        <v>117</v>
      </c>
      <c r="D4061" t="s">
        <v>199</v>
      </c>
      <c r="E4061">
        <v>535</v>
      </c>
      <c r="F4061" s="1">
        <v>2.63E-2</v>
      </c>
      <c r="H4061" s="1">
        <v>0.18479999999999999</v>
      </c>
      <c r="I4061" s="1">
        <v>0.2366</v>
      </c>
      <c r="J4061" s="1">
        <v>0.27510000000000001</v>
      </c>
      <c r="K4061" s="1">
        <v>0.2772</v>
      </c>
    </row>
    <row r="4062" spans="1:12" x14ac:dyDescent="0.25">
      <c r="A4062" t="s">
        <v>203</v>
      </c>
      <c r="B4062" t="s">
        <v>228</v>
      </c>
      <c r="C4062">
        <v>61</v>
      </c>
      <c r="D4062" t="s">
        <v>199</v>
      </c>
      <c r="E4062">
        <v>535</v>
      </c>
      <c r="F4062" s="1">
        <v>6.7000000000000004E-2</v>
      </c>
      <c r="G4062" s="1">
        <v>3.0999999999999999E-3</v>
      </c>
      <c r="H4062" s="1">
        <v>9.8699999999999996E-2</v>
      </c>
      <c r="I4062" s="1">
        <v>0.315</v>
      </c>
      <c r="J4062" s="1">
        <v>0.1135</v>
      </c>
      <c r="K4062" s="1">
        <v>0.12720000000000001</v>
      </c>
      <c r="L4062" s="1">
        <v>0.27539999999999998</v>
      </c>
    </row>
    <row r="4063" spans="1:12" x14ac:dyDescent="0.25">
      <c r="A4063" t="s">
        <v>203</v>
      </c>
      <c r="B4063" t="s">
        <v>229</v>
      </c>
      <c r="C4063">
        <v>43</v>
      </c>
      <c r="D4063" t="s">
        <v>200</v>
      </c>
      <c r="E4063">
        <v>535</v>
      </c>
      <c r="F4063" s="1">
        <v>0.11559999999999999</v>
      </c>
      <c r="H4063" s="1">
        <v>0.1208</v>
      </c>
      <c r="I4063" s="1">
        <v>0.111</v>
      </c>
      <c r="J4063" s="1">
        <v>0.46839999999999998</v>
      </c>
      <c r="K4063" s="1">
        <v>0.1842</v>
      </c>
    </row>
    <row r="4064" spans="1:12" s="29" customFormat="1" x14ac:dyDescent="0.25">
      <c r="A4064" s="29" t="s">
        <v>203</v>
      </c>
      <c r="B4064" s="29" t="s">
        <v>228</v>
      </c>
      <c r="C4064" s="29">
        <v>26</v>
      </c>
      <c r="D4064" s="29" t="s">
        <v>200</v>
      </c>
      <c r="E4064" s="29">
        <v>535</v>
      </c>
      <c r="F4064" s="30">
        <v>0.2044</v>
      </c>
      <c r="H4064" s="30">
        <v>1.7100000000000001E-2</v>
      </c>
      <c r="I4064" s="30">
        <v>0.42209999999999998</v>
      </c>
      <c r="J4064" s="30">
        <v>0.14680000000000001</v>
      </c>
      <c r="K4064" s="30">
        <v>0.19289999999999999</v>
      </c>
      <c r="L4064" s="30">
        <v>1.66E-2</v>
      </c>
    </row>
    <row r="4065" spans="1:12" x14ac:dyDescent="0.25">
      <c r="A4065" t="s">
        <v>203</v>
      </c>
      <c r="B4065" t="s">
        <v>229</v>
      </c>
      <c r="C4065">
        <v>32</v>
      </c>
      <c r="D4065" t="s">
        <v>201</v>
      </c>
      <c r="E4065">
        <v>535</v>
      </c>
      <c r="G4065" s="1">
        <v>1.5699999999999999E-2</v>
      </c>
      <c r="H4065" s="1">
        <v>0.25140000000000001</v>
      </c>
      <c r="I4065" s="1">
        <v>8.2299999999999998E-2</v>
      </c>
      <c r="J4065" s="1">
        <v>0.2671</v>
      </c>
      <c r="K4065" s="1">
        <v>0.36780000000000002</v>
      </c>
      <c r="L4065" s="1">
        <v>1.5699999999999999E-2</v>
      </c>
    </row>
    <row r="4066" spans="1:12" x14ac:dyDescent="0.25">
      <c r="A4066" t="s">
        <v>203</v>
      </c>
      <c r="B4066" t="s">
        <v>228</v>
      </c>
      <c r="C4066">
        <v>105</v>
      </c>
      <c r="D4066" t="s">
        <v>201</v>
      </c>
      <c r="E4066">
        <v>535</v>
      </c>
      <c r="F4066" s="1">
        <v>5.1400000000000001E-2</v>
      </c>
      <c r="H4066" s="1">
        <v>5.5500000000000001E-2</v>
      </c>
      <c r="I4066" s="1">
        <v>0.34849999999999998</v>
      </c>
      <c r="J4066" s="1">
        <v>0.2409</v>
      </c>
      <c r="K4066" s="1">
        <v>0.30370000000000003</v>
      </c>
    </row>
    <row r="4067" spans="1:12" s="29" customFormat="1" x14ac:dyDescent="0.25">
      <c r="A4067" s="29" t="s">
        <v>203</v>
      </c>
      <c r="B4067" s="29" t="s">
        <v>229</v>
      </c>
      <c r="C4067" s="29">
        <v>2</v>
      </c>
      <c r="D4067" s="29" t="s">
        <v>202</v>
      </c>
      <c r="E4067" s="29">
        <v>535</v>
      </c>
      <c r="H4067" s="30">
        <v>0.5</v>
      </c>
      <c r="I4067" s="30">
        <v>0.5</v>
      </c>
    </row>
    <row r="4068" spans="1:12" x14ac:dyDescent="0.25">
      <c r="A4068" t="s">
        <v>204</v>
      </c>
      <c r="B4068" t="s">
        <v>204</v>
      </c>
      <c r="C4068">
        <v>535</v>
      </c>
      <c r="D4068" t="s">
        <v>204</v>
      </c>
      <c r="E4068">
        <v>535</v>
      </c>
      <c r="F4068" s="1">
        <v>9.2200000000000004E-2</v>
      </c>
      <c r="G4068" s="1">
        <v>8.9999999999999993E-3</v>
      </c>
      <c r="H4068" s="1">
        <v>0.1313</v>
      </c>
      <c r="I4068" s="1">
        <v>0.27739999999999998</v>
      </c>
      <c r="J4068" s="1">
        <v>0.2389</v>
      </c>
      <c r="K4068" s="1">
        <v>0.23680000000000001</v>
      </c>
      <c r="L4068" s="1">
        <v>1.4500000000000001E-2</v>
      </c>
    </row>
    <row r="4070" spans="1:12" x14ac:dyDescent="0.25">
      <c r="A4070" t="s">
        <v>950</v>
      </c>
    </row>
    <row r="4071" spans="1:12" x14ac:dyDescent="0.25">
      <c r="A4071" t="s">
        <v>190</v>
      </c>
      <c r="B4071" t="s">
        <v>206</v>
      </c>
      <c r="C4071" t="s">
        <v>195</v>
      </c>
      <c r="D4071" t="s">
        <v>189</v>
      </c>
      <c r="E4071" t="s">
        <v>196</v>
      </c>
      <c r="F4071" t="s">
        <v>944</v>
      </c>
      <c r="G4071" t="s">
        <v>220</v>
      </c>
      <c r="H4071" t="s">
        <v>945</v>
      </c>
      <c r="I4071" t="s">
        <v>946</v>
      </c>
      <c r="J4071" t="s">
        <v>947</v>
      </c>
      <c r="K4071" t="s">
        <v>948</v>
      </c>
      <c r="L4071" t="s">
        <v>215</v>
      </c>
    </row>
    <row r="4072" spans="1:12" s="29" customFormat="1" x14ac:dyDescent="0.25">
      <c r="A4072" s="29" t="s">
        <v>198</v>
      </c>
      <c r="B4072" s="29" t="s">
        <v>348</v>
      </c>
      <c r="C4072" s="29">
        <v>3</v>
      </c>
      <c r="D4072" s="29" t="s">
        <v>197</v>
      </c>
      <c r="E4072" s="29">
        <v>535</v>
      </c>
      <c r="F4072" s="30">
        <v>0.35680000000000001</v>
      </c>
      <c r="G4072" s="30">
        <v>0.28639999999999999</v>
      </c>
      <c r="H4072" s="30">
        <v>0.35680000000000001</v>
      </c>
    </row>
    <row r="4073" spans="1:12" s="29" customFormat="1" x14ac:dyDescent="0.25">
      <c r="A4073" s="29" t="s">
        <v>198</v>
      </c>
      <c r="B4073" s="29" t="s">
        <v>349</v>
      </c>
      <c r="C4073" s="29">
        <v>12</v>
      </c>
      <c r="D4073" s="29" t="s">
        <v>199</v>
      </c>
      <c r="E4073" s="29">
        <v>535</v>
      </c>
      <c r="H4073" s="30">
        <v>0.12</v>
      </c>
      <c r="I4073" s="30">
        <v>0.61950000000000005</v>
      </c>
      <c r="J4073" s="30">
        <v>0.20050000000000001</v>
      </c>
      <c r="K4073" s="30">
        <v>0.06</v>
      </c>
    </row>
    <row r="4074" spans="1:12" x14ac:dyDescent="0.25">
      <c r="A4074" t="s">
        <v>198</v>
      </c>
      <c r="B4074" t="s">
        <v>350</v>
      </c>
      <c r="C4074">
        <v>36</v>
      </c>
      <c r="D4074" t="s">
        <v>199</v>
      </c>
      <c r="E4074">
        <v>535</v>
      </c>
      <c r="F4074" s="1">
        <v>1.1900000000000001E-2</v>
      </c>
      <c r="H4074" s="1">
        <v>7.0900000000000005E-2</v>
      </c>
      <c r="I4074" s="1">
        <v>0.21460000000000001</v>
      </c>
      <c r="J4074" s="1">
        <v>0.17130000000000001</v>
      </c>
      <c r="K4074" s="1">
        <v>0.53129999999999999</v>
      </c>
    </row>
    <row r="4075" spans="1:12" s="29" customFormat="1" x14ac:dyDescent="0.25">
      <c r="A4075" s="29" t="s">
        <v>198</v>
      </c>
      <c r="B4075" s="29" t="s">
        <v>348</v>
      </c>
      <c r="C4075" s="29">
        <v>3</v>
      </c>
      <c r="D4075" s="29" t="s">
        <v>199</v>
      </c>
      <c r="E4075" s="29">
        <v>535</v>
      </c>
      <c r="I4075" s="30">
        <v>0.82930000000000004</v>
      </c>
      <c r="K4075" s="30">
        <v>0.17069999999999999</v>
      </c>
    </row>
    <row r="4076" spans="1:12" s="29" customFormat="1" x14ac:dyDescent="0.25">
      <c r="A4076" s="29" t="s">
        <v>198</v>
      </c>
      <c r="B4076" s="29" t="s">
        <v>348</v>
      </c>
      <c r="C4076" s="29">
        <v>12</v>
      </c>
      <c r="D4076" s="29" t="s">
        <v>200</v>
      </c>
      <c r="E4076" s="29">
        <v>535</v>
      </c>
      <c r="H4076" s="30">
        <v>0.2104</v>
      </c>
      <c r="I4076" s="30">
        <v>0.18540000000000001</v>
      </c>
      <c r="J4076" s="30">
        <v>0.25069999999999998</v>
      </c>
      <c r="K4076" s="30">
        <v>0.35360000000000003</v>
      </c>
    </row>
    <row r="4077" spans="1:12" s="29" customFormat="1" x14ac:dyDescent="0.25">
      <c r="A4077" s="29" t="s">
        <v>198</v>
      </c>
      <c r="B4077" s="29" t="s">
        <v>350</v>
      </c>
      <c r="C4077" s="29">
        <v>9</v>
      </c>
      <c r="D4077" s="29" t="s">
        <v>200</v>
      </c>
      <c r="E4077" s="29">
        <v>535</v>
      </c>
      <c r="I4077" s="30">
        <v>0.40899999999999997</v>
      </c>
      <c r="J4077" s="30">
        <v>0.1928</v>
      </c>
      <c r="K4077" s="30">
        <v>0.3982</v>
      </c>
    </row>
    <row r="4078" spans="1:12" s="29" customFormat="1" x14ac:dyDescent="0.25">
      <c r="A4078" s="29" t="s">
        <v>198</v>
      </c>
      <c r="B4078" s="29" t="s">
        <v>349</v>
      </c>
      <c r="C4078" s="29">
        <v>5</v>
      </c>
      <c r="D4078" s="29" t="s">
        <v>200</v>
      </c>
      <c r="E4078" s="29">
        <v>535</v>
      </c>
      <c r="H4078" s="30">
        <v>0.1951</v>
      </c>
      <c r="I4078" s="30">
        <v>2.6499999999999999E-2</v>
      </c>
      <c r="J4078" s="30">
        <v>0.77839999999999998</v>
      </c>
    </row>
    <row r="4079" spans="1:12" s="29" customFormat="1" x14ac:dyDescent="0.25">
      <c r="A4079" s="29" t="s">
        <v>198</v>
      </c>
      <c r="B4079" s="29" t="s">
        <v>349</v>
      </c>
      <c r="C4079" s="29">
        <v>27</v>
      </c>
      <c r="D4079" s="29" t="s">
        <v>201</v>
      </c>
      <c r="E4079" s="29">
        <v>535</v>
      </c>
      <c r="F4079" s="30">
        <v>3.4700000000000002E-2</v>
      </c>
      <c r="G4079" s="30">
        <v>6.1999999999999998E-3</v>
      </c>
      <c r="H4079" s="30">
        <v>0.16420000000000001</v>
      </c>
      <c r="I4079" s="30">
        <v>0.3629</v>
      </c>
      <c r="J4079" s="30">
        <v>0.21110000000000001</v>
      </c>
      <c r="K4079" s="30">
        <v>0.2208</v>
      </c>
    </row>
    <row r="4080" spans="1:12" s="29" customFormat="1" x14ac:dyDescent="0.25">
      <c r="A4080" s="29" t="s">
        <v>198</v>
      </c>
      <c r="B4080" s="29" t="s">
        <v>350</v>
      </c>
      <c r="C4080" s="29">
        <v>21</v>
      </c>
      <c r="D4080" s="29" t="s">
        <v>201</v>
      </c>
      <c r="E4080" s="29">
        <v>535</v>
      </c>
      <c r="H4080" s="30">
        <v>7.5800000000000006E-2</v>
      </c>
      <c r="I4080" s="30">
        <v>0.52949999999999997</v>
      </c>
      <c r="J4080" s="30">
        <v>0.18740000000000001</v>
      </c>
      <c r="K4080" s="30">
        <v>0.2074</v>
      </c>
    </row>
    <row r="4081" spans="1:12" s="29" customFormat="1" x14ac:dyDescent="0.25">
      <c r="A4081" s="29" t="s">
        <v>198</v>
      </c>
      <c r="B4081" s="29" t="s">
        <v>348</v>
      </c>
      <c r="C4081" s="29">
        <v>4</v>
      </c>
      <c r="D4081" s="29" t="s">
        <v>201</v>
      </c>
      <c r="E4081" s="29">
        <v>535</v>
      </c>
      <c r="I4081" s="30">
        <v>0.44180000000000003</v>
      </c>
      <c r="J4081" s="30">
        <v>0.36330000000000001</v>
      </c>
      <c r="K4081" s="30">
        <v>0.19489999999999999</v>
      </c>
    </row>
    <row r="4082" spans="1:12" s="29" customFormat="1" x14ac:dyDescent="0.25">
      <c r="A4082" s="29" t="s">
        <v>198</v>
      </c>
      <c r="B4082" s="29" t="s">
        <v>348</v>
      </c>
      <c r="C4082" s="29">
        <v>7</v>
      </c>
      <c r="D4082" s="29" t="s">
        <v>202</v>
      </c>
      <c r="E4082" s="29">
        <v>535</v>
      </c>
      <c r="F4082" s="30">
        <v>0.34300000000000003</v>
      </c>
      <c r="I4082" s="30">
        <v>0.53439999999999999</v>
      </c>
      <c r="K4082" s="30">
        <v>0.1226</v>
      </c>
    </row>
    <row r="4083" spans="1:12" x14ac:dyDescent="0.25">
      <c r="A4083" t="s">
        <v>203</v>
      </c>
      <c r="B4083" t="s">
        <v>349</v>
      </c>
      <c r="C4083">
        <v>47</v>
      </c>
      <c r="D4083" t="s">
        <v>199</v>
      </c>
      <c r="E4083">
        <v>535</v>
      </c>
      <c r="F4083" s="1">
        <v>4.3900000000000002E-2</v>
      </c>
      <c r="H4083" s="1">
        <v>0.2878</v>
      </c>
      <c r="I4083" s="1">
        <v>0.37569999999999998</v>
      </c>
      <c r="J4083" s="1">
        <v>0.184</v>
      </c>
      <c r="K4083" s="1">
        <v>0.1087</v>
      </c>
    </row>
    <row r="4084" spans="1:12" s="29" customFormat="1" x14ac:dyDescent="0.25">
      <c r="A4084" s="29" t="s">
        <v>203</v>
      </c>
      <c r="B4084" s="29" t="s">
        <v>348</v>
      </c>
      <c r="C4084" s="29">
        <v>6</v>
      </c>
      <c r="D4084" s="29" t="s">
        <v>199</v>
      </c>
      <c r="E4084" s="29">
        <v>535</v>
      </c>
      <c r="F4084" s="30">
        <v>0.25380000000000003</v>
      </c>
      <c r="H4084" s="30">
        <v>7.9500000000000001E-2</v>
      </c>
      <c r="I4084" s="30">
        <v>0.25380000000000003</v>
      </c>
      <c r="J4084" s="30">
        <v>0.25380000000000003</v>
      </c>
      <c r="K4084" s="30">
        <v>0.15909999999999999</v>
      </c>
    </row>
    <row r="4085" spans="1:12" x14ac:dyDescent="0.25">
      <c r="A4085" t="s">
        <v>203</v>
      </c>
      <c r="B4085" t="s">
        <v>350</v>
      </c>
      <c r="C4085">
        <v>125</v>
      </c>
      <c r="D4085" t="s">
        <v>199</v>
      </c>
      <c r="E4085">
        <v>535</v>
      </c>
      <c r="F4085" s="1">
        <v>2.3300000000000001E-2</v>
      </c>
      <c r="G4085" s="1">
        <v>5.9999999999999995E-4</v>
      </c>
      <c r="H4085" s="1">
        <v>0.15310000000000001</v>
      </c>
      <c r="I4085" s="1">
        <v>0.22409999999999999</v>
      </c>
      <c r="J4085" s="1">
        <v>0.2636</v>
      </c>
      <c r="K4085" s="1">
        <v>0.28539999999999999</v>
      </c>
      <c r="L4085" s="1">
        <v>4.99E-2</v>
      </c>
    </row>
    <row r="4086" spans="1:12" x14ac:dyDescent="0.25">
      <c r="A4086" t="s">
        <v>203</v>
      </c>
      <c r="B4086" t="s">
        <v>348</v>
      </c>
      <c r="C4086">
        <v>34</v>
      </c>
      <c r="D4086" t="s">
        <v>200</v>
      </c>
      <c r="E4086">
        <v>535</v>
      </c>
      <c r="F4086" s="1">
        <v>0.193</v>
      </c>
      <c r="H4086" s="1">
        <v>7.9500000000000001E-2</v>
      </c>
      <c r="I4086" s="1">
        <v>0.26640000000000003</v>
      </c>
      <c r="J4086" s="1">
        <v>0.30580000000000002</v>
      </c>
      <c r="K4086" s="1">
        <v>0.15540000000000001</v>
      </c>
    </row>
    <row r="4087" spans="1:12" s="29" customFormat="1" x14ac:dyDescent="0.25">
      <c r="A4087" s="29" t="s">
        <v>203</v>
      </c>
      <c r="B4087" s="29" t="s">
        <v>349</v>
      </c>
      <c r="C4087" s="29">
        <v>16</v>
      </c>
      <c r="D4087" s="29" t="s">
        <v>200</v>
      </c>
      <c r="E4087" s="29">
        <v>535</v>
      </c>
      <c r="H4087" s="30">
        <v>4.1000000000000002E-2</v>
      </c>
      <c r="I4087" s="30">
        <v>4.1000000000000002E-2</v>
      </c>
      <c r="J4087" s="30">
        <v>0.53400000000000003</v>
      </c>
      <c r="K4087" s="30">
        <v>0.38400000000000001</v>
      </c>
    </row>
    <row r="4088" spans="1:12" s="29" customFormat="1" x14ac:dyDescent="0.25">
      <c r="A4088" s="29" t="s">
        <v>203</v>
      </c>
      <c r="B4088" s="29" t="s">
        <v>350</v>
      </c>
      <c r="C4088" s="29">
        <v>19</v>
      </c>
      <c r="D4088" s="29" t="s">
        <v>200</v>
      </c>
      <c r="E4088" s="29">
        <v>535</v>
      </c>
      <c r="H4088" s="30">
        <v>0.1895</v>
      </c>
      <c r="I4088" s="30">
        <v>0.22009999999999999</v>
      </c>
      <c r="J4088" s="30">
        <v>0.3911</v>
      </c>
      <c r="K4088" s="30">
        <v>0.11409999999999999</v>
      </c>
      <c r="L4088" s="30">
        <v>8.5099999999999995E-2</v>
      </c>
    </row>
    <row r="4089" spans="1:12" s="29" customFormat="1" x14ac:dyDescent="0.25">
      <c r="A4089" s="29" t="s">
        <v>203</v>
      </c>
      <c r="B4089" s="29" t="s">
        <v>348</v>
      </c>
      <c r="C4089" s="29">
        <v>2</v>
      </c>
      <c r="D4089" s="29" t="s">
        <v>201</v>
      </c>
      <c r="E4089" s="29">
        <v>535</v>
      </c>
      <c r="F4089" s="30">
        <v>0.5</v>
      </c>
      <c r="I4089" s="30">
        <v>0.5</v>
      </c>
    </row>
    <row r="4090" spans="1:12" x14ac:dyDescent="0.25">
      <c r="A4090" t="s">
        <v>203</v>
      </c>
      <c r="B4090" t="s">
        <v>349</v>
      </c>
      <c r="C4090">
        <v>63</v>
      </c>
      <c r="D4090" t="s">
        <v>201</v>
      </c>
      <c r="E4090">
        <v>535</v>
      </c>
      <c r="F4090" s="1">
        <v>2.1899999999999999E-2</v>
      </c>
      <c r="H4090" s="1">
        <v>0.15260000000000001</v>
      </c>
      <c r="I4090" s="1">
        <v>0.22459999999999999</v>
      </c>
      <c r="J4090" s="1">
        <v>0.26750000000000002</v>
      </c>
      <c r="K4090" s="1">
        <v>0.33329999999999999</v>
      </c>
    </row>
    <row r="4091" spans="1:12" x14ac:dyDescent="0.25">
      <c r="A4091" t="s">
        <v>203</v>
      </c>
      <c r="B4091" t="s">
        <v>350</v>
      </c>
      <c r="C4091">
        <v>72</v>
      </c>
      <c r="D4091" t="s">
        <v>201</v>
      </c>
      <c r="E4091">
        <v>535</v>
      </c>
      <c r="G4091" s="1">
        <v>2.9100000000000001E-2</v>
      </c>
      <c r="H4091" s="1">
        <v>0.1699</v>
      </c>
      <c r="I4091" s="1">
        <v>0.16650000000000001</v>
      </c>
      <c r="J4091" s="1">
        <v>0.2379</v>
      </c>
      <c r="K4091" s="1">
        <v>0.36759999999999998</v>
      </c>
      <c r="L4091" s="1">
        <v>2.9100000000000001E-2</v>
      </c>
    </row>
    <row r="4092" spans="1:12" s="29" customFormat="1" x14ac:dyDescent="0.25">
      <c r="A4092" s="29" t="s">
        <v>203</v>
      </c>
      <c r="B4092" s="29" t="s">
        <v>348</v>
      </c>
      <c r="C4092" s="29">
        <v>2</v>
      </c>
      <c r="D4092" s="29" t="s">
        <v>202</v>
      </c>
      <c r="E4092" s="29">
        <v>535</v>
      </c>
      <c r="H4092" s="30">
        <v>0.5</v>
      </c>
      <c r="I4092" s="30">
        <v>0.5</v>
      </c>
    </row>
    <row r="4093" spans="1:12" x14ac:dyDescent="0.25">
      <c r="A4093" t="s">
        <v>204</v>
      </c>
      <c r="B4093" t="s">
        <v>204</v>
      </c>
      <c r="C4093">
        <v>535</v>
      </c>
      <c r="D4093" t="s">
        <v>204</v>
      </c>
      <c r="E4093">
        <v>535</v>
      </c>
      <c r="F4093" s="1">
        <v>9.2200000000000004E-2</v>
      </c>
      <c r="G4093" s="1">
        <v>8.9999999999999993E-3</v>
      </c>
      <c r="H4093" s="1">
        <v>0.1313</v>
      </c>
      <c r="I4093" s="1">
        <v>0.27739999999999998</v>
      </c>
      <c r="J4093" s="1">
        <v>0.2389</v>
      </c>
      <c r="K4093" s="1">
        <v>0.23680000000000001</v>
      </c>
      <c r="L4093" s="1">
        <v>1.4500000000000001E-2</v>
      </c>
    </row>
    <row r="4095" spans="1:12" x14ac:dyDescent="0.25">
      <c r="A4095" t="s">
        <v>951</v>
      </c>
    </row>
    <row r="4096" spans="1:12" x14ac:dyDescent="0.25">
      <c r="A4096" t="s">
        <v>190</v>
      </c>
      <c r="B4096" t="s">
        <v>195</v>
      </c>
      <c r="C4096" t="s">
        <v>189</v>
      </c>
      <c r="D4096" t="s">
        <v>196</v>
      </c>
      <c r="E4096" t="s">
        <v>220</v>
      </c>
      <c r="F4096" t="s">
        <v>952</v>
      </c>
      <c r="G4096" t="s">
        <v>953</v>
      </c>
      <c r="H4096" t="s">
        <v>954</v>
      </c>
      <c r="I4096" t="s">
        <v>955</v>
      </c>
    </row>
    <row r="4097" spans="1:10" x14ac:dyDescent="0.25">
      <c r="A4097" t="s">
        <v>198</v>
      </c>
      <c r="B4097">
        <v>82</v>
      </c>
      <c r="C4097" t="s">
        <v>197</v>
      </c>
      <c r="D4097">
        <v>2632</v>
      </c>
      <c r="F4097" s="1">
        <v>7.4999999999999997E-3</v>
      </c>
      <c r="G4097" s="1">
        <v>1.38E-2</v>
      </c>
      <c r="H4097" s="1">
        <v>9.64E-2</v>
      </c>
      <c r="I4097" s="1">
        <v>0.88239999999999996</v>
      </c>
    </row>
    <row r="4098" spans="1:10" x14ac:dyDescent="0.25">
      <c r="A4098" t="s">
        <v>198</v>
      </c>
      <c r="B4098">
        <v>368</v>
      </c>
      <c r="C4098" t="s">
        <v>199</v>
      </c>
      <c r="D4098">
        <v>2632</v>
      </c>
      <c r="H4098" s="1">
        <v>5.1799999999999999E-2</v>
      </c>
      <c r="I4098" s="1">
        <v>0.94820000000000004</v>
      </c>
    </row>
    <row r="4099" spans="1:10" x14ac:dyDescent="0.25">
      <c r="A4099" t="s">
        <v>198</v>
      </c>
      <c r="B4099">
        <v>387</v>
      </c>
      <c r="C4099" t="s">
        <v>200</v>
      </c>
      <c r="D4099">
        <v>2632</v>
      </c>
      <c r="H4099" s="1">
        <v>0.12280000000000001</v>
      </c>
      <c r="I4099" s="1">
        <v>0.87719999999999998</v>
      </c>
    </row>
    <row r="4100" spans="1:10" x14ac:dyDescent="0.25">
      <c r="A4100" t="s">
        <v>198</v>
      </c>
      <c r="B4100">
        <v>256</v>
      </c>
      <c r="C4100" t="s">
        <v>201</v>
      </c>
      <c r="D4100">
        <v>2632</v>
      </c>
      <c r="F4100" s="1">
        <v>1.06E-2</v>
      </c>
      <c r="H4100" s="1">
        <v>9.06E-2</v>
      </c>
      <c r="I4100" s="1">
        <v>0.89880000000000004</v>
      </c>
    </row>
    <row r="4101" spans="1:10" x14ac:dyDescent="0.25">
      <c r="A4101" t="s">
        <v>198</v>
      </c>
      <c r="B4101">
        <v>96</v>
      </c>
      <c r="C4101" t="s">
        <v>202</v>
      </c>
      <c r="D4101">
        <v>2632</v>
      </c>
      <c r="F4101" s="1">
        <v>1.5299999999999999E-2</v>
      </c>
      <c r="H4101" s="1">
        <v>0.12</v>
      </c>
      <c r="I4101" s="1">
        <v>0.86470000000000002</v>
      </c>
    </row>
    <row r="4102" spans="1:10" x14ac:dyDescent="0.25">
      <c r="A4102" t="s">
        <v>203</v>
      </c>
      <c r="B4102">
        <v>529</v>
      </c>
      <c r="C4102" t="s">
        <v>199</v>
      </c>
      <c r="D4102">
        <v>2632</v>
      </c>
      <c r="E4102" s="1">
        <v>5.0000000000000001E-4</v>
      </c>
      <c r="F4102" s="1">
        <v>8.9999999999999998E-4</v>
      </c>
      <c r="H4102" s="1">
        <v>2.0400000000000001E-2</v>
      </c>
      <c r="I4102" s="1">
        <v>0.97809999999999997</v>
      </c>
    </row>
    <row r="4103" spans="1:10" x14ac:dyDescent="0.25">
      <c r="A4103" t="s">
        <v>203</v>
      </c>
      <c r="B4103">
        <v>503</v>
      </c>
      <c r="C4103" t="s">
        <v>200</v>
      </c>
      <c r="D4103">
        <v>2632</v>
      </c>
      <c r="H4103" s="1">
        <v>8.2799999999999999E-2</v>
      </c>
      <c r="I4103" s="1">
        <v>0.91720000000000002</v>
      </c>
    </row>
    <row r="4104" spans="1:10" x14ac:dyDescent="0.25">
      <c r="A4104" t="s">
        <v>203</v>
      </c>
      <c r="B4104">
        <v>321</v>
      </c>
      <c r="C4104" t="s">
        <v>201</v>
      </c>
      <c r="D4104">
        <v>2632</v>
      </c>
      <c r="F4104" s="1">
        <v>4.8999999999999998E-3</v>
      </c>
      <c r="H4104" s="1">
        <v>3.6900000000000002E-2</v>
      </c>
      <c r="I4104" s="1">
        <v>0.95820000000000005</v>
      </c>
    </row>
    <row r="4105" spans="1:10" x14ac:dyDescent="0.25">
      <c r="A4105" t="s">
        <v>203</v>
      </c>
      <c r="B4105">
        <v>90</v>
      </c>
      <c r="C4105" t="s">
        <v>202</v>
      </c>
      <c r="D4105">
        <v>2632</v>
      </c>
      <c r="H4105" s="1">
        <v>7.0599999999999996E-2</v>
      </c>
      <c r="I4105" s="1">
        <v>0.9294</v>
      </c>
    </row>
    <row r="4106" spans="1:10" x14ac:dyDescent="0.25">
      <c r="A4106" t="s">
        <v>204</v>
      </c>
      <c r="B4106">
        <v>2632</v>
      </c>
      <c r="C4106" t="s">
        <v>204</v>
      </c>
      <c r="D4106">
        <v>2632</v>
      </c>
      <c r="E4106" s="1">
        <v>1E-4</v>
      </c>
      <c r="F4106" s="1">
        <v>2.8E-3</v>
      </c>
      <c r="G4106" s="1">
        <v>8.9999999999999998E-4</v>
      </c>
      <c r="H4106" s="1">
        <v>7.7399999999999997E-2</v>
      </c>
      <c r="I4106" s="1">
        <v>0.91879999999999995</v>
      </c>
    </row>
    <row r="4108" spans="1:10" x14ac:dyDescent="0.25">
      <c r="A4108" t="s">
        <v>956</v>
      </c>
    </row>
    <row r="4109" spans="1:10" x14ac:dyDescent="0.25">
      <c r="A4109" t="s">
        <v>190</v>
      </c>
      <c r="B4109" t="s">
        <v>206</v>
      </c>
      <c r="C4109" t="s">
        <v>195</v>
      </c>
      <c r="D4109" t="s">
        <v>189</v>
      </c>
      <c r="E4109" t="s">
        <v>196</v>
      </c>
      <c r="F4109" t="s">
        <v>220</v>
      </c>
      <c r="G4109" t="s">
        <v>952</v>
      </c>
      <c r="H4109" t="s">
        <v>953</v>
      </c>
      <c r="I4109" t="s">
        <v>954</v>
      </c>
      <c r="J4109" t="s">
        <v>955</v>
      </c>
    </row>
    <row r="4110" spans="1:10" x14ac:dyDescent="0.25">
      <c r="A4110" t="s">
        <v>198</v>
      </c>
      <c r="B4110" t="s">
        <v>228</v>
      </c>
      <c r="C4110">
        <v>33</v>
      </c>
      <c r="D4110" t="s">
        <v>197</v>
      </c>
      <c r="E4110">
        <v>2632</v>
      </c>
      <c r="I4110" s="1">
        <v>7.3700000000000002E-2</v>
      </c>
      <c r="J4110" s="1">
        <v>0.92630000000000001</v>
      </c>
    </row>
    <row r="4111" spans="1:10" x14ac:dyDescent="0.25">
      <c r="A4111" t="s">
        <v>198</v>
      </c>
      <c r="B4111" t="s">
        <v>229</v>
      </c>
      <c r="C4111">
        <v>49</v>
      </c>
      <c r="D4111" t="s">
        <v>197</v>
      </c>
      <c r="E4111">
        <v>2632</v>
      </c>
      <c r="G4111" s="1">
        <v>1.32E-2</v>
      </c>
      <c r="H4111" s="1">
        <v>2.4199999999999999E-2</v>
      </c>
      <c r="I4111" s="1">
        <v>0.11360000000000001</v>
      </c>
      <c r="J4111" s="1">
        <v>0.84899999999999998</v>
      </c>
    </row>
    <row r="4112" spans="1:10" x14ac:dyDescent="0.25">
      <c r="A4112" t="s">
        <v>198</v>
      </c>
      <c r="B4112" t="s">
        <v>228</v>
      </c>
      <c r="C4112">
        <v>145</v>
      </c>
      <c r="D4112" t="s">
        <v>199</v>
      </c>
      <c r="E4112">
        <v>2632</v>
      </c>
      <c r="I4112" s="1">
        <v>6.8199999999999997E-2</v>
      </c>
      <c r="J4112" s="1">
        <v>0.93179999999999996</v>
      </c>
    </row>
    <row r="4113" spans="1:10" x14ac:dyDescent="0.25">
      <c r="A4113" t="s">
        <v>198</v>
      </c>
      <c r="B4113" t="s">
        <v>229</v>
      </c>
      <c r="C4113">
        <v>213</v>
      </c>
      <c r="D4113" t="s">
        <v>199</v>
      </c>
      <c r="E4113">
        <v>2632</v>
      </c>
      <c r="I4113" s="1">
        <v>4.6600000000000003E-2</v>
      </c>
      <c r="J4113" s="1">
        <v>0.95340000000000003</v>
      </c>
    </row>
    <row r="4114" spans="1:10" x14ac:dyDescent="0.25">
      <c r="A4114" t="s">
        <v>198</v>
      </c>
      <c r="B4114" t="s">
        <v>229</v>
      </c>
      <c r="C4114">
        <v>270</v>
      </c>
      <c r="D4114" t="s">
        <v>200</v>
      </c>
      <c r="E4114">
        <v>2632</v>
      </c>
      <c r="I4114" s="1">
        <v>0.1308</v>
      </c>
      <c r="J4114" s="1">
        <v>0.86919999999999997</v>
      </c>
    </row>
    <row r="4115" spans="1:10" x14ac:dyDescent="0.25">
      <c r="A4115" t="s">
        <v>198</v>
      </c>
      <c r="B4115" t="s">
        <v>228</v>
      </c>
      <c r="C4115">
        <v>112</v>
      </c>
      <c r="D4115" t="s">
        <v>200</v>
      </c>
      <c r="E4115">
        <v>2632</v>
      </c>
      <c r="I4115" s="1">
        <v>0.1003</v>
      </c>
      <c r="J4115" s="1">
        <v>0.89970000000000006</v>
      </c>
    </row>
    <row r="4116" spans="1:10" x14ac:dyDescent="0.25">
      <c r="A4116" t="s">
        <v>198</v>
      </c>
      <c r="B4116" t="s">
        <v>228</v>
      </c>
      <c r="C4116">
        <v>95</v>
      </c>
      <c r="D4116" t="s">
        <v>201</v>
      </c>
      <c r="E4116">
        <v>2632</v>
      </c>
      <c r="G4116" s="1">
        <v>5.7999999999999996E-3</v>
      </c>
      <c r="I4116" s="1">
        <v>0.11899999999999999</v>
      </c>
      <c r="J4116" s="1">
        <v>0.87509999999999999</v>
      </c>
    </row>
    <row r="4117" spans="1:10" x14ac:dyDescent="0.25">
      <c r="A4117" t="s">
        <v>198</v>
      </c>
      <c r="B4117" t="s">
        <v>229</v>
      </c>
      <c r="C4117">
        <v>155</v>
      </c>
      <c r="D4117" t="s">
        <v>201</v>
      </c>
      <c r="E4117">
        <v>2632</v>
      </c>
      <c r="G4117" s="1">
        <v>1.2E-2</v>
      </c>
      <c r="I4117" s="1">
        <v>8.3699999999999997E-2</v>
      </c>
      <c r="J4117" s="1">
        <v>0.90429999999999999</v>
      </c>
    </row>
    <row r="4118" spans="1:10" s="29" customFormat="1" x14ac:dyDescent="0.25">
      <c r="A4118" s="29" t="s">
        <v>198</v>
      </c>
      <c r="B4118" s="29" t="s">
        <v>228</v>
      </c>
      <c r="C4118" s="29">
        <v>28</v>
      </c>
      <c r="D4118" s="29" t="s">
        <v>202</v>
      </c>
      <c r="E4118" s="29">
        <v>2632</v>
      </c>
      <c r="I4118" s="30">
        <v>0.29370000000000002</v>
      </c>
      <c r="J4118" s="30">
        <v>0.70630000000000004</v>
      </c>
    </row>
    <row r="4119" spans="1:10" x14ac:dyDescent="0.25">
      <c r="A4119" t="s">
        <v>198</v>
      </c>
      <c r="B4119" t="s">
        <v>229</v>
      </c>
      <c r="C4119">
        <v>68</v>
      </c>
      <c r="D4119" t="s">
        <v>202</v>
      </c>
      <c r="E4119">
        <v>2632</v>
      </c>
      <c r="G4119" s="1">
        <v>0.02</v>
      </c>
      <c r="I4119" s="1">
        <v>6.6199999999999995E-2</v>
      </c>
      <c r="J4119" s="1">
        <v>0.91379999999999995</v>
      </c>
    </row>
    <row r="4120" spans="1:10" x14ac:dyDescent="0.25">
      <c r="A4120" t="s">
        <v>203</v>
      </c>
      <c r="B4120" t="s">
        <v>229</v>
      </c>
      <c r="C4120">
        <v>369</v>
      </c>
      <c r="D4120" t="s">
        <v>199</v>
      </c>
      <c r="E4120">
        <v>2632</v>
      </c>
      <c r="F4120" s="1">
        <v>5.9999999999999995E-4</v>
      </c>
      <c r="I4120" s="1">
        <v>9.2999999999999992E-3</v>
      </c>
      <c r="J4120" s="1">
        <v>0.99009999999999998</v>
      </c>
    </row>
    <row r="4121" spans="1:10" x14ac:dyDescent="0.25">
      <c r="A4121" t="s">
        <v>203</v>
      </c>
      <c r="B4121" t="s">
        <v>228</v>
      </c>
      <c r="C4121">
        <v>150</v>
      </c>
      <c r="D4121" t="s">
        <v>199</v>
      </c>
      <c r="E4121">
        <v>2632</v>
      </c>
      <c r="G4121" s="1">
        <v>8.5000000000000006E-3</v>
      </c>
      <c r="I4121" s="1">
        <v>0.11070000000000001</v>
      </c>
      <c r="J4121" s="1">
        <v>0.88080000000000003</v>
      </c>
    </row>
    <row r="4122" spans="1:10" x14ac:dyDescent="0.25">
      <c r="A4122" t="s">
        <v>203</v>
      </c>
      <c r="B4122" t="s">
        <v>229</v>
      </c>
      <c r="C4122">
        <v>347</v>
      </c>
      <c r="D4122" t="s">
        <v>200</v>
      </c>
      <c r="E4122">
        <v>2632</v>
      </c>
      <c r="I4122" s="1">
        <v>9.1700000000000004E-2</v>
      </c>
      <c r="J4122" s="1">
        <v>0.9083</v>
      </c>
    </row>
    <row r="4123" spans="1:10" x14ac:dyDescent="0.25">
      <c r="A4123" t="s">
        <v>203</v>
      </c>
      <c r="B4123" t="s">
        <v>228</v>
      </c>
      <c r="C4123">
        <v>155</v>
      </c>
      <c r="D4123" t="s">
        <v>200</v>
      </c>
      <c r="E4123">
        <v>2632</v>
      </c>
      <c r="I4123" s="1">
        <v>4.5699999999999998E-2</v>
      </c>
      <c r="J4123" s="1">
        <v>0.95430000000000004</v>
      </c>
    </row>
    <row r="4124" spans="1:10" x14ac:dyDescent="0.25">
      <c r="A4124" t="s">
        <v>203</v>
      </c>
      <c r="B4124" t="s">
        <v>229</v>
      </c>
      <c r="C4124">
        <v>137</v>
      </c>
      <c r="D4124" t="s">
        <v>201</v>
      </c>
      <c r="E4124">
        <v>2632</v>
      </c>
      <c r="G4124" s="1">
        <v>1.5E-3</v>
      </c>
      <c r="I4124" s="1">
        <v>1.84E-2</v>
      </c>
      <c r="J4124" s="1">
        <v>0.98009999999999997</v>
      </c>
    </row>
    <row r="4125" spans="1:10" x14ac:dyDescent="0.25">
      <c r="A4125" t="s">
        <v>203</v>
      </c>
      <c r="B4125" t="s">
        <v>228</v>
      </c>
      <c r="C4125">
        <v>177</v>
      </c>
      <c r="D4125" t="s">
        <v>201</v>
      </c>
      <c r="E4125">
        <v>2632</v>
      </c>
      <c r="G4125" s="1">
        <v>1.5699999999999999E-2</v>
      </c>
      <c r="I4125" s="1">
        <v>9.6199999999999994E-2</v>
      </c>
      <c r="J4125" s="1">
        <v>0.8881</v>
      </c>
    </row>
    <row r="4126" spans="1:10" x14ac:dyDescent="0.25">
      <c r="A4126" t="s">
        <v>203</v>
      </c>
      <c r="B4126" t="s">
        <v>228</v>
      </c>
      <c r="C4126">
        <v>34</v>
      </c>
      <c r="D4126" t="s">
        <v>202</v>
      </c>
      <c r="E4126">
        <v>2632</v>
      </c>
      <c r="I4126" s="1">
        <v>6.5199999999999994E-2</v>
      </c>
      <c r="J4126" s="1">
        <v>0.93479999999999996</v>
      </c>
    </row>
    <row r="4127" spans="1:10" x14ac:dyDescent="0.25">
      <c r="A4127" t="s">
        <v>203</v>
      </c>
      <c r="B4127" t="s">
        <v>229</v>
      </c>
      <c r="C4127">
        <v>56</v>
      </c>
      <c r="D4127" t="s">
        <v>202</v>
      </c>
      <c r="E4127">
        <v>2632</v>
      </c>
      <c r="I4127" s="1">
        <v>7.2700000000000001E-2</v>
      </c>
      <c r="J4127" s="1">
        <v>0.92730000000000001</v>
      </c>
    </row>
    <row r="4128" spans="1:10" x14ac:dyDescent="0.25">
      <c r="A4128" t="s">
        <v>204</v>
      </c>
      <c r="B4128" t="s">
        <v>204</v>
      </c>
      <c r="C4128">
        <v>2632</v>
      </c>
      <c r="D4128" t="s">
        <v>204</v>
      </c>
      <c r="E4128">
        <v>2632</v>
      </c>
      <c r="F4128" s="1">
        <v>1E-4</v>
      </c>
      <c r="G4128" s="1">
        <v>2.8E-3</v>
      </c>
      <c r="H4128" s="1">
        <v>8.9999999999999998E-4</v>
      </c>
      <c r="I4128" s="1">
        <v>7.7399999999999997E-2</v>
      </c>
      <c r="J4128" s="1">
        <v>0.91879999999999995</v>
      </c>
    </row>
    <row r="4130" spans="1:10" x14ac:dyDescent="0.25">
      <c r="A4130" t="s">
        <v>957</v>
      </c>
    </row>
    <row r="4131" spans="1:10" x14ac:dyDescent="0.25">
      <c r="A4131" t="s">
        <v>190</v>
      </c>
      <c r="B4131" t="s">
        <v>206</v>
      </c>
      <c r="C4131" t="s">
        <v>195</v>
      </c>
      <c r="D4131" t="s">
        <v>189</v>
      </c>
      <c r="E4131" t="s">
        <v>196</v>
      </c>
      <c r="F4131" t="s">
        <v>220</v>
      </c>
      <c r="G4131" t="s">
        <v>952</v>
      </c>
      <c r="H4131" t="s">
        <v>953</v>
      </c>
      <c r="I4131" t="s">
        <v>954</v>
      </c>
      <c r="J4131" t="s">
        <v>955</v>
      </c>
    </row>
    <row r="4132" spans="1:10" x14ac:dyDescent="0.25">
      <c r="A4132" t="s">
        <v>198</v>
      </c>
      <c r="B4132" t="s">
        <v>348</v>
      </c>
      <c r="C4132">
        <v>79</v>
      </c>
      <c r="D4132" t="s">
        <v>197</v>
      </c>
      <c r="E4132">
        <v>2632</v>
      </c>
      <c r="G4132" s="1">
        <v>7.7000000000000002E-3</v>
      </c>
      <c r="H4132" s="1">
        <v>1.4200000000000001E-2</v>
      </c>
      <c r="I4132" s="1">
        <v>8.8300000000000003E-2</v>
      </c>
      <c r="J4132" s="1">
        <v>0.88980000000000004</v>
      </c>
    </row>
    <row r="4133" spans="1:10" s="29" customFormat="1" x14ac:dyDescent="0.25">
      <c r="A4133" s="29" t="s">
        <v>198</v>
      </c>
      <c r="B4133" s="29" t="s">
        <v>349</v>
      </c>
      <c r="C4133" s="29">
        <v>3</v>
      </c>
      <c r="D4133" s="29" t="s">
        <v>197</v>
      </c>
      <c r="E4133" s="29">
        <v>2632</v>
      </c>
      <c r="I4133" s="30">
        <v>0.33329999999999999</v>
      </c>
      <c r="J4133" s="30">
        <v>0.66669999999999996</v>
      </c>
    </row>
    <row r="4134" spans="1:10" x14ac:dyDescent="0.25">
      <c r="A4134" t="s">
        <v>198</v>
      </c>
      <c r="B4134" t="s">
        <v>348</v>
      </c>
      <c r="C4134">
        <v>54</v>
      </c>
      <c r="D4134" t="s">
        <v>199</v>
      </c>
      <c r="E4134">
        <v>2632</v>
      </c>
      <c r="I4134" s="1">
        <v>0.04</v>
      </c>
      <c r="J4134" s="1">
        <v>0.96</v>
      </c>
    </row>
    <row r="4135" spans="1:10" x14ac:dyDescent="0.25">
      <c r="A4135" t="s">
        <v>198</v>
      </c>
      <c r="B4135" t="s">
        <v>349</v>
      </c>
      <c r="C4135">
        <v>111</v>
      </c>
      <c r="D4135" t="s">
        <v>199</v>
      </c>
      <c r="E4135">
        <v>2632</v>
      </c>
      <c r="I4135" s="1">
        <v>0.04</v>
      </c>
      <c r="J4135" s="1">
        <v>0.96</v>
      </c>
    </row>
    <row r="4136" spans="1:10" x14ac:dyDescent="0.25">
      <c r="A4136" t="s">
        <v>198</v>
      </c>
      <c r="B4136" t="s">
        <v>350</v>
      </c>
      <c r="C4136">
        <v>193</v>
      </c>
      <c r="D4136" t="s">
        <v>199</v>
      </c>
      <c r="E4136">
        <v>2632</v>
      </c>
      <c r="I4136" s="1">
        <v>6.9900000000000004E-2</v>
      </c>
      <c r="J4136" s="1">
        <v>0.93010000000000004</v>
      </c>
    </row>
    <row r="4137" spans="1:10" x14ac:dyDescent="0.25">
      <c r="A4137" t="s">
        <v>198</v>
      </c>
      <c r="B4137" t="s">
        <v>350</v>
      </c>
      <c r="C4137">
        <v>78</v>
      </c>
      <c r="D4137" t="s">
        <v>200</v>
      </c>
      <c r="E4137">
        <v>2632</v>
      </c>
      <c r="I4137" s="1">
        <v>5.7599999999999998E-2</v>
      </c>
      <c r="J4137" s="1">
        <v>0.94240000000000002</v>
      </c>
    </row>
    <row r="4138" spans="1:10" x14ac:dyDescent="0.25">
      <c r="A4138" t="s">
        <v>198</v>
      </c>
      <c r="B4138" t="s">
        <v>348</v>
      </c>
      <c r="C4138">
        <v>242</v>
      </c>
      <c r="D4138" t="s">
        <v>200</v>
      </c>
      <c r="E4138">
        <v>2632</v>
      </c>
      <c r="I4138" s="1">
        <v>0.1245</v>
      </c>
      <c r="J4138" s="1">
        <v>0.87549999999999994</v>
      </c>
    </row>
    <row r="4139" spans="1:10" x14ac:dyDescent="0.25">
      <c r="A4139" t="s">
        <v>198</v>
      </c>
      <c r="B4139" t="s">
        <v>349</v>
      </c>
      <c r="C4139">
        <v>62</v>
      </c>
      <c r="D4139" t="s">
        <v>200</v>
      </c>
      <c r="E4139">
        <v>2632</v>
      </c>
      <c r="I4139" s="1">
        <v>0.1923</v>
      </c>
      <c r="J4139" s="1">
        <v>0.80769999999999997</v>
      </c>
    </row>
    <row r="4140" spans="1:10" x14ac:dyDescent="0.25">
      <c r="A4140" t="s">
        <v>198</v>
      </c>
      <c r="B4140" t="s">
        <v>349</v>
      </c>
      <c r="C4140">
        <v>125</v>
      </c>
      <c r="D4140" t="s">
        <v>201</v>
      </c>
      <c r="E4140">
        <v>2632</v>
      </c>
      <c r="G4140" s="1">
        <v>1.54E-2</v>
      </c>
      <c r="I4140" s="1">
        <v>0.1018</v>
      </c>
      <c r="J4140" s="1">
        <v>0.88280000000000003</v>
      </c>
    </row>
    <row r="4141" spans="1:10" x14ac:dyDescent="0.25">
      <c r="A4141" t="s">
        <v>198</v>
      </c>
      <c r="B4141" t="s">
        <v>350</v>
      </c>
      <c r="C4141">
        <v>63</v>
      </c>
      <c r="D4141" t="s">
        <v>201</v>
      </c>
      <c r="E4141">
        <v>2632</v>
      </c>
      <c r="I4141" s="1">
        <v>0.1196</v>
      </c>
      <c r="J4141" s="1">
        <v>0.88039999999999996</v>
      </c>
    </row>
    <row r="4142" spans="1:10" x14ac:dyDescent="0.25">
      <c r="A4142" t="s">
        <v>198</v>
      </c>
      <c r="B4142" t="s">
        <v>348</v>
      </c>
      <c r="C4142">
        <v>62</v>
      </c>
      <c r="D4142" t="s">
        <v>201</v>
      </c>
      <c r="E4142">
        <v>2632</v>
      </c>
      <c r="I4142" s="1">
        <v>5.8400000000000001E-2</v>
      </c>
      <c r="J4142" s="1">
        <v>0.94159999999999999</v>
      </c>
    </row>
    <row r="4143" spans="1:10" x14ac:dyDescent="0.25">
      <c r="A4143" t="s">
        <v>198</v>
      </c>
      <c r="B4143" t="s">
        <v>348</v>
      </c>
      <c r="C4143">
        <v>96</v>
      </c>
      <c r="D4143" t="s">
        <v>202</v>
      </c>
      <c r="E4143">
        <v>2632</v>
      </c>
      <c r="G4143" s="1">
        <v>1.5299999999999999E-2</v>
      </c>
      <c r="I4143" s="1">
        <v>0.12</v>
      </c>
      <c r="J4143" s="1">
        <v>0.86470000000000002</v>
      </c>
    </row>
    <row r="4144" spans="1:10" x14ac:dyDescent="0.25">
      <c r="A4144" t="s">
        <v>203</v>
      </c>
      <c r="B4144" t="s">
        <v>349</v>
      </c>
      <c r="C4144">
        <v>171</v>
      </c>
      <c r="D4144" t="s">
        <v>199</v>
      </c>
      <c r="E4144">
        <v>2632</v>
      </c>
      <c r="G4144" s="1">
        <v>2.8E-3</v>
      </c>
      <c r="I4144" s="1">
        <v>7.6E-3</v>
      </c>
      <c r="J4144" s="1">
        <v>0.98970000000000002</v>
      </c>
    </row>
    <row r="4145" spans="1:10" x14ac:dyDescent="0.25">
      <c r="A4145" t="s">
        <v>203</v>
      </c>
      <c r="B4145" t="s">
        <v>348</v>
      </c>
      <c r="C4145">
        <v>42</v>
      </c>
      <c r="D4145" t="s">
        <v>199</v>
      </c>
      <c r="E4145">
        <v>2632</v>
      </c>
      <c r="J4145" s="1">
        <v>1</v>
      </c>
    </row>
    <row r="4146" spans="1:10" x14ac:dyDescent="0.25">
      <c r="A4146" t="s">
        <v>203</v>
      </c>
      <c r="B4146" t="s">
        <v>350</v>
      </c>
      <c r="C4146">
        <v>306</v>
      </c>
      <c r="D4146" t="s">
        <v>199</v>
      </c>
      <c r="E4146">
        <v>2632</v>
      </c>
      <c r="F4146" s="1">
        <v>8.9999999999999998E-4</v>
      </c>
      <c r="I4146" s="1">
        <v>2.7699999999999999E-2</v>
      </c>
      <c r="J4146" s="1">
        <v>0.97150000000000003</v>
      </c>
    </row>
    <row r="4147" spans="1:10" x14ac:dyDescent="0.25">
      <c r="A4147" t="s">
        <v>203</v>
      </c>
      <c r="B4147" t="s">
        <v>348</v>
      </c>
      <c r="C4147">
        <v>300</v>
      </c>
      <c r="D4147" t="s">
        <v>200</v>
      </c>
      <c r="E4147">
        <v>2632</v>
      </c>
      <c r="I4147" s="1">
        <v>9.1800000000000007E-2</v>
      </c>
      <c r="J4147" s="1">
        <v>0.90820000000000001</v>
      </c>
    </row>
    <row r="4148" spans="1:10" x14ac:dyDescent="0.25">
      <c r="A4148" t="s">
        <v>203</v>
      </c>
      <c r="B4148" t="s">
        <v>349</v>
      </c>
      <c r="C4148">
        <v>108</v>
      </c>
      <c r="D4148" t="s">
        <v>200</v>
      </c>
      <c r="E4148">
        <v>2632</v>
      </c>
      <c r="I4148" s="1">
        <v>1.4E-3</v>
      </c>
      <c r="J4148" s="1">
        <v>0.99860000000000004</v>
      </c>
    </row>
    <row r="4149" spans="1:10" x14ac:dyDescent="0.25">
      <c r="A4149" t="s">
        <v>203</v>
      </c>
      <c r="B4149" t="s">
        <v>350</v>
      </c>
      <c r="C4149">
        <v>94</v>
      </c>
      <c r="D4149" t="s">
        <v>200</v>
      </c>
      <c r="E4149">
        <v>2632</v>
      </c>
      <c r="I4149" s="1">
        <v>3.78E-2</v>
      </c>
      <c r="J4149" s="1">
        <v>0.96220000000000006</v>
      </c>
    </row>
    <row r="4150" spans="1:10" x14ac:dyDescent="0.25">
      <c r="A4150" t="s">
        <v>203</v>
      </c>
      <c r="B4150" t="s">
        <v>348</v>
      </c>
      <c r="C4150">
        <v>62</v>
      </c>
      <c r="D4150" t="s">
        <v>201</v>
      </c>
      <c r="E4150">
        <v>2632</v>
      </c>
      <c r="I4150" s="1">
        <v>0.11409999999999999</v>
      </c>
      <c r="J4150" s="1">
        <v>0.88590000000000002</v>
      </c>
    </row>
    <row r="4151" spans="1:10" x14ac:dyDescent="0.25">
      <c r="A4151" t="s">
        <v>203</v>
      </c>
      <c r="B4151" t="s">
        <v>349</v>
      </c>
      <c r="C4151">
        <v>147</v>
      </c>
      <c r="D4151" t="s">
        <v>201</v>
      </c>
      <c r="E4151">
        <v>2632</v>
      </c>
      <c r="G4151" s="1">
        <v>4.5999999999999999E-3</v>
      </c>
      <c r="I4151" s="1">
        <v>2.53E-2</v>
      </c>
      <c r="J4151" s="1">
        <v>0.97009999999999996</v>
      </c>
    </row>
    <row r="4152" spans="1:10" x14ac:dyDescent="0.25">
      <c r="A4152" t="s">
        <v>203</v>
      </c>
      <c r="B4152" t="s">
        <v>350</v>
      </c>
      <c r="C4152">
        <v>105</v>
      </c>
      <c r="D4152" t="s">
        <v>201</v>
      </c>
      <c r="E4152">
        <v>2632</v>
      </c>
      <c r="G4152" s="1">
        <v>1.6199999999999999E-2</v>
      </c>
      <c r="I4152" s="1">
        <v>5.1700000000000003E-2</v>
      </c>
      <c r="J4152" s="1">
        <v>0.93200000000000005</v>
      </c>
    </row>
    <row r="4153" spans="1:10" x14ac:dyDescent="0.25">
      <c r="A4153" t="s">
        <v>203</v>
      </c>
      <c r="B4153" t="s">
        <v>348</v>
      </c>
      <c r="C4153">
        <v>90</v>
      </c>
      <c r="D4153" t="s">
        <v>202</v>
      </c>
      <c r="E4153">
        <v>2632</v>
      </c>
      <c r="I4153" s="1">
        <v>7.0599999999999996E-2</v>
      </c>
      <c r="J4153" s="1">
        <v>0.9294</v>
      </c>
    </row>
    <row r="4154" spans="1:10" x14ac:dyDescent="0.25">
      <c r="A4154" t="s">
        <v>204</v>
      </c>
      <c r="B4154" t="s">
        <v>204</v>
      </c>
      <c r="C4154">
        <v>2632</v>
      </c>
      <c r="D4154" t="s">
        <v>204</v>
      </c>
      <c r="E4154">
        <v>2632</v>
      </c>
      <c r="F4154" s="1">
        <v>1E-4</v>
      </c>
      <c r="G4154" s="1">
        <v>2.8E-3</v>
      </c>
      <c r="H4154" s="1">
        <v>8.9999999999999998E-4</v>
      </c>
      <c r="I4154" s="1">
        <v>7.7399999999999997E-2</v>
      </c>
      <c r="J4154" s="1">
        <v>0.91879999999999995</v>
      </c>
    </row>
    <row r="4156" spans="1:10" x14ac:dyDescent="0.25">
      <c r="A4156" t="s">
        <v>958</v>
      </c>
    </row>
    <row r="4157" spans="1:10" x14ac:dyDescent="0.25">
      <c r="A4157" t="s">
        <v>190</v>
      </c>
      <c r="B4157" t="s">
        <v>195</v>
      </c>
      <c r="C4157" t="s">
        <v>189</v>
      </c>
      <c r="D4157" t="s">
        <v>196</v>
      </c>
      <c r="E4157" t="s">
        <v>220</v>
      </c>
      <c r="F4157" t="s">
        <v>952</v>
      </c>
      <c r="G4157" t="s">
        <v>215</v>
      </c>
      <c r="H4157" t="s">
        <v>954</v>
      </c>
      <c r="I4157" t="s">
        <v>955</v>
      </c>
    </row>
    <row r="4158" spans="1:10" x14ac:dyDescent="0.25">
      <c r="A4158" t="s">
        <v>198</v>
      </c>
      <c r="B4158">
        <v>82</v>
      </c>
      <c r="C4158" t="s">
        <v>197</v>
      </c>
      <c r="D4158">
        <v>2632</v>
      </c>
      <c r="H4158" s="1">
        <v>5.8299999999999998E-2</v>
      </c>
      <c r="I4158" s="1">
        <v>0.94169999999999998</v>
      </c>
    </row>
    <row r="4159" spans="1:10" x14ac:dyDescent="0.25">
      <c r="A4159" t="s">
        <v>198</v>
      </c>
      <c r="B4159">
        <v>368</v>
      </c>
      <c r="C4159" t="s">
        <v>199</v>
      </c>
      <c r="D4159">
        <v>2632</v>
      </c>
      <c r="G4159" s="1">
        <v>8.9999999999999998E-4</v>
      </c>
      <c r="H4159" s="1">
        <v>5.4300000000000001E-2</v>
      </c>
      <c r="I4159" s="1">
        <v>0.94479999999999997</v>
      </c>
    </row>
    <row r="4160" spans="1:10" x14ac:dyDescent="0.25">
      <c r="A4160" t="s">
        <v>198</v>
      </c>
      <c r="B4160">
        <v>387</v>
      </c>
      <c r="C4160" t="s">
        <v>200</v>
      </c>
      <c r="D4160">
        <v>2632</v>
      </c>
      <c r="F4160" s="1">
        <v>4.5999999999999999E-3</v>
      </c>
      <c r="H4160" s="1">
        <v>5.6399999999999999E-2</v>
      </c>
      <c r="I4160" s="1">
        <v>0.93889999999999996</v>
      </c>
    </row>
    <row r="4161" spans="1:10" x14ac:dyDescent="0.25">
      <c r="A4161" t="s">
        <v>198</v>
      </c>
      <c r="B4161">
        <v>256</v>
      </c>
      <c r="C4161" t="s">
        <v>201</v>
      </c>
      <c r="D4161">
        <v>2632</v>
      </c>
      <c r="F4161" s="1">
        <v>3.5000000000000001E-3</v>
      </c>
      <c r="H4161" s="1">
        <v>3.3300000000000003E-2</v>
      </c>
      <c r="I4161" s="1">
        <v>0.96309999999999996</v>
      </c>
    </row>
    <row r="4162" spans="1:10" x14ac:dyDescent="0.25">
      <c r="A4162" t="s">
        <v>198</v>
      </c>
      <c r="B4162">
        <v>96</v>
      </c>
      <c r="C4162" t="s">
        <v>202</v>
      </c>
      <c r="D4162">
        <v>2632</v>
      </c>
      <c r="H4162" s="1">
        <v>0.1084</v>
      </c>
      <c r="I4162" s="1">
        <v>0.89159999999999995</v>
      </c>
    </row>
    <row r="4163" spans="1:10" x14ac:dyDescent="0.25">
      <c r="A4163" t="s">
        <v>203</v>
      </c>
      <c r="B4163">
        <v>529</v>
      </c>
      <c r="C4163" t="s">
        <v>199</v>
      </c>
      <c r="D4163">
        <v>2632</v>
      </c>
      <c r="E4163" s="1">
        <v>1.1999999999999999E-3</v>
      </c>
      <c r="H4163" s="1">
        <v>1.52E-2</v>
      </c>
      <c r="I4163" s="1">
        <v>0.98360000000000003</v>
      </c>
    </row>
    <row r="4164" spans="1:10" x14ac:dyDescent="0.25">
      <c r="A4164" t="s">
        <v>203</v>
      </c>
      <c r="B4164">
        <v>503</v>
      </c>
      <c r="C4164" t="s">
        <v>200</v>
      </c>
      <c r="D4164">
        <v>2632</v>
      </c>
      <c r="F4164" s="1">
        <v>4.0000000000000001E-3</v>
      </c>
      <c r="H4164" s="1">
        <v>1.4800000000000001E-2</v>
      </c>
      <c r="I4164" s="1">
        <v>0.98109999999999997</v>
      </c>
    </row>
    <row r="4165" spans="1:10" x14ac:dyDescent="0.25">
      <c r="A4165" t="s">
        <v>203</v>
      </c>
      <c r="B4165">
        <v>321</v>
      </c>
      <c r="C4165" t="s">
        <v>201</v>
      </c>
      <c r="D4165">
        <v>2632</v>
      </c>
      <c r="H4165" s="1">
        <v>2.3199999999999998E-2</v>
      </c>
      <c r="I4165" s="1">
        <v>0.9768</v>
      </c>
    </row>
    <row r="4166" spans="1:10" x14ac:dyDescent="0.25">
      <c r="A4166" t="s">
        <v>203</v>
      </c>
      <c r="B4166">
        <v>90</v>
      </c>
      <c r="C4166" t="s">
        <v>202</v>
      </c>
      <c r="D4166">
        <v>2632</v>
      </c>
      <c r="H4166" s="1">
        <v>1.89E-2</v>
      </c>
      <c r="I4166" s="1">
        <v>0.98109999999999997</v>
      </c>
    </row>
    <row r="4167" spans="1:10" x14ac:dyDescent="0.25">
      <c r="A4167" t="s">
        <v>204</v>
      </c>
      <c r="B4167">
        <v>2632</v>
      </c>
      <c r="C4167" t="s">
        <v>204</v>
      </c>
      <c r="D4167">
        <v>2632</v>
      </c>
      <c r="E4167" s="1">
        <v>2.0000000000000001E-4</v>
      </c>
      <c r="F4167" s="1">
        <v>2E-3</v>
      </c>
      <c r="G4167" s="1">
        <v>1E-4</v>
      </c>
      <c r="H4167" s="1">
        <v>3.8300000000000001E-2</v>
      </c>
      <c r="I4167" s="1">
        <v>0.95940000000000003</v>
      </c>
    </row>
    <row r="4169" spans="1:10" x14ac:dyDescent="0.25">
      <c r="A4169" t="s">
        <v>959</v>
      </c>
    </row>
    <row r="4170" spans="1:10" x14ac:dyDescent="0.25">
      <c r="A4170" t="s">
        <v>190</v>
      </c>
      <c r="B4170" t="s">
        <v>206</v>
      </c>
      <c r="C4170" t="s">
        <v>195</v>
      </c>
      <c r="D4170" t="s">
        <v>189</v>
      </c>
      <c r="E4170" t="s">
        <v>196</v>
      </c>
      <c r="F4170" t="s">
        <v>220</v>
      </c>
      <c r="G4170" t="s">
        <v>952</v>
      </c>
      <c r="H4170" t="s">
        <v>215</v>
      </c>
      <c r="I4170" t="s">
        <v>954</v>
      </c>
      <c r="J4170" t="s">
        <v>955</v>
      </c>
    </row>
    <row r="4171" spans="1:10" x14ac:dyDescent="0.25">
      <c r="A4171" t="s">
        <v>198</v>
      </c>
      <c r="B4171" t="s">
        <v>228</v>
      </c>
      <c r="C4171">
        <v>33</v>
      </c>
      <c r="D4171" t="s">
        <v>197</v>
      </c>
      <c r="E4171">
        <v>2632</v>
      </c>
      <c r="I4171" s="1">
        <v>1.7299999999999999E-2</v>
      </c>
      <c r="J4171" s="1">
        <v>0.98270000000000002</v>
      </c>
    </row>
    <row r="4172" spans="1:10" x14ac:dyDescent="0.25">
      <c r="A4172" t="s">
        <v>198</v>
      </c>
      <c r="B4172" t="s">
        <v>229</v>
      </c>
      <c r="C4172">
        <v>49</v>
      </c>
      <c r="D4172" t="s">
        <v>197</v>
      </c>
      <c r="E4172">
        <v>2632</v>
      </c>
      <c r="I4172" s="1">
        <v>8.9399999999999993E-2</v>
      </c>
      <c r="J4172" s="1">
        <v>0.91059999999999997</v>
      </c>
    </row>
    <row r="4173" spans="1:10" x14ac:dyDescent="0.25">
      <c r="A4173" t="s">
        <v>198</v>
      </c>
      <c r="B4173" t="s">
        <v>228</v>
      </c>
      <c r="C4173">
        <v>145</v>
      </c>
      <c r="D4173" t="s">
        <v>199</v>
      </c>
      <c r="E4173">
        <v>2632</v>
      </c>
      <c r="H4173" s="1">
        <v>3.3999999999999998E-3</v>
      </c>
      <c r="I4173" s="1">
        <v>7.3700000000000002E-2</v>
      </c>
      <c r="J4173" s="1">
        <v>0.92279999999999995</v>
      </c>
    </row>
    <row r="4174" spans="1:10" x14ac:dyDescent="0.25">
      <c r="A4174" t="s">
        <v>198</v>
      </c>
      <c r="B4174" t="s">
        <v>229</v>
      </c>
      <c r="C4174">
        <v>213</v>
      </c>
      <c r="D4174" t="s">
        <v>199</v>
      </c>
      <c r="E4174">
        <v>2632</v>
      </c>
      <c r="I4174" s="1">
        <v>4.8099999999999997E-2</v>
      </c>
      <c r="J4174" s="1">
        <v>0.95189999999999997</v>
      </c>
    </row>
    <row r="4175" spans="1:10" x14ac:dyDescent="0.25">
      <c r="A4175" t="s">
        <v>198</v>
      </c>
      <c r="B4175" t="s">
        <v>229</v>
      </c>
      <c r="C4175">
        <v>270</v>
      </c>
      <c r="D4175" t="s">
        <v>200</v>
      </c>
      <c r="E4175">
        <v>2632</v>
      </c>
      <c r="G4175" s="1">
        <v>6.1000000000000004E-3</v>
      </c>
      <c r="I4175" s="1">
        <v>5.6599999999999998E-2</v>
      </c>
      <c r="J4175" s="1">
        <v>0.93740000000000001</v>
      </c>
    </row>
    <row r="4176" spans="1:10" x14ac:dyDescent="0.25">
      <c r="A4176" t="s">
        <v>198</v>
      </c>
      <c r="B4176" t="s">
        <v>228</v>
      </c>
      <c r="C4176">
        <v>112</v>
      </c>
      <c r="D4176" t="s">
        <v>200</v>
      </c>
      <c r="E4176">
        <v>2632</v>
      </c>
      <c r="I4176" s="1">
        <v>5.7799999999999997E-2</v>
      </c>
      <c r="J4176" s="1">
        <v>0.94220000000000004</v>
      </c>
    </row>
    <row r="4177" spans="1:10" x14ac:dyDescent="0.25">
      <c r="A4177" t="s">
        <v>198</v>
      </c>
      <c r="B4177" t="s">
        <v>228</v>
      </c>
      <c r="C4177">
        <v>95</v>
      </c>
      <c r="D4177" t="s">
        <v>201</v>
      </c>
      <c r="E4177">
        <v>2632</v>
      </c>
      <c r="I4177" s="1">
        <v>5.3999999999999999E-2</v>
      </c>
      <c r="J4177" s="1">
        <v>0.94599999999999995</v>
      </c>
    </row>
    <row r="4178" spans="1:10" x14ac:dyDescent="0.25">
      <c r="A4178" t="s">
        <v>198</v>
      </c>
      <c r="B4178" t="s">
        <v>229</v>
      </c>
      <c r="C4178">
        <v>155</v>
      </c>
      <c r="D4178" t="s">
        <v>201</v>
      </c>
      <c r="E4178">
        <v>2632</v>
      </c>
      <c r="G4178" s="1">
        <v>4.5999999999999999E-3</v>
      </c>
      <c r="I4178" s="1">
        <v>2.81E-2</v>
      </c>
      <c r="J4178" s="1">
        <v>0.96730000000000005</v>
      </c>
    </row>
    <row r="4179" spans="1:10" s="29" customFormat="1" x14ac:dyDescent="0.25">
      <c r="A4179" s="29" t="s">
        <v>198</v>
      </c>
      <c r="B4179" s="29" t="s">
        <v>228</v>
      </c>
      <c r="C4179" s="29">
        <v>28</v>
      </c>
      <c r="D4179" s="29" t="s">
        <v>202</v>
      </c>
      <c r="E4179" s="29">
        <v>2632</v>
      </c>
      <c r="I4179" s="30">
        <v>0.1022</v>
      </c>
      <c r="J4179" s="30">
        <v>0.89780000000000004</v>
      </c>
    </row>
    <row r="4180" spans="1:10" x14ac:dyDescent="0.25">
      <c r="A4180" t="s">
        <v>198</v>
      </c>
      <c r="B4180" t="s">
        <v>229</v>
      </c>
      <c r="C4180">
        <v>68</v>
      </c>
      <c r="D4180" t="s">
        <v>202</v>
      </c>
      <c r="E4180">
        <v>2632</v>
      </c>
      <c r="I4180" s="1">
        <v>0.1104</v>
      </c>
      <c r="J4180" s="1">
        <v>0.88959999999999995</v>
      </c>
    </row>
    <row r="4181" spans="1:10" x14ac:dyDescent="0.25">
      <c r="A4181" t="s">
        <v>203</v>
      </c>
      <c r="B4181" t="s">
        <v>229</v>
      </c>
      <c r="C4181">
        <v>369</v>
      </c>
      <c r="D4181" t="s">
        <v>199</v>
      </c>
      <c r="E4181">
        <v>2632</v>
      </c>
      <c r="F4181" s="1">
        <v>6.9999999999999999E-4</v>
      </c>
      <c r="I4181" s="1">
        <v>5.3E-3</v>
      </c>
      <c r="J4181" s="1">
        <v>0.99399999999999999</v>
      </c>
    </row>
    <row r="4182" spans="1:10" x14ac:dyDescent="0.25">
      <c r="A4182" t="s">
        <v>203</v>
      </c>
      <c r="B4182" t="s">
        <v>228</v>
      </c>
      <c r="C4182">
        <v>150</v>
      </c>
      <c r="D4182" t="s">
        <v>199</v>
      </c>
      <c r="E4182">
        <v>2632</v>
      </c>
      <c r="F4182" s="1">
        <v>5.8999999999999999E-3</v>
      </c>
      <c r="I4182" s="1">
        <v>9.9699999999999997E-2</v>
      </c>
      <c r="J4182" s="1">
        <v>0.89439999999999997</v>
      </c>
    </row>
    <row r="4183" spans="1:10" x14ac:dyDescent="0.25">
      <c r="A4183" t="s">
        <v>203</v>
      </c>
      <c r="B4183" t="s">
        <v>229</v>
      </c>
      <c r="C4183">
        <v>347</v>
      </c>
      <c r="D4183" t="s">
        <v>200</v>
      </c>
      <c r="E4183">
        <v>2632</v>
      </c>
      <c r="G4183" s="1">
        <v>5.0000000000000001E-3</v>
      </c>
      <c r="I4183" s="1">
        <v>7.4999999999999997E-3</v>
      </c>
      <c r="J4183" s="1">
        <v>0.98750000000000004</v>
      </c>
    </row>
    <row r="4184" spans="1:10" x14ac:dyDescent="0.25">
      <c r="A4184" t="s">
        <v>203</v>
      </c>
      <c r="B4184" t="s">
        <v>228</v>
      </c>
      <c r="C4184">
        <v>155</v>
      </c>
      <c r="D4184" t="s">
        <v>200</v>
      </c>
      <c r="E4184">
        <v>2632</v>
      </c>
      <c r="I4184" s="1">
        <v>4.5600000000000002E-2</v>
      </c>
      <c r="J4184" s="1">
        <v>0.95440000000000003</v>
      </c>
    </row>
    <row r="4185" spans="1:10" x14ac:dyDescent="0.25">
      <c r="A4185" t="s">
        <v>203</v>
      </c>
      <c r="B4185" t="s">
        <v>229</v>
      </c>
      <c r="C4185">
        <v>137</v>
      </c>
      <c r="D4185" t="s">
        <v>201</v>
      </c>
      <c r="E4185">
        <v>2632</v>
      </c>
      <c r="I4185" s="1">
        <v>1.6299999999999999E-2</v>
      </c>
      <c r="J4185" s="1">
        <v>0.98370000000000002</v>
      </c>
    </row>
    <row r="4186" spans="1:10" x14ac:dyDescent="0.25">
      <c r="A4186" t="s">
        <v>203</v>
      </c>
      <c r="B4186" t="s">
        <v>228</v>
      </c>
      <c r="C4186">
        <v>177</v>
      </c>
      <c r="D4186" t="s">
        <v>201</v>
      </c>
      <c r="E4186">
        <v>2632</v>
      </c>
      <c r="I4186" s="1">
        <v>4.5400000000000003E-2</v>
      </c>
      <c r="J4186" s="1">
        <v>0.9546</v>
      </c>
    </row>
    <row r="4187" spans="1:10" x14ac:dyDescent="0.25">
      <c r="A4187" t="s">
        <v>203</v>
      </c>
      <c r="B4187" t="s">
        <v>228</v>
      </c>
      <c r="C4187">
        <v>34</v>
      </c>
      <c r="D4187" t="s">
        <v>202</v>
      </c>
      <c r="E4187">
        <v>2632</v>
      </c>
      <c r="I4187" s="1">
        <v>1.32E-2</v>
      </c>
      <c r="J4187" s="1">
        <v>0.98680000000000001</v>
      </c>
    </row>
    <row r="4188" spans="1:10" x14ac:dyDescent="0.25">
      <c r="A4188" t="s">
        <v>203</v>
      </c>
      <c r="B4188" t="s">
        <v>229</v>
      </c>
      <c r="C4188">
        <v>56</v>
      </c>
      <c r="D4188" t="s">
        <v>202</v>
      </c>
      <c r="E4188">
        <v>2632</v>
      </c>
      <c r="I4188" s="1">
        <v>2.12E-2</v>
      </c>
      <c r="J4188" s="1">
        <v>0.9788</v>
      </c>
    </row>
    <row r="4189" spans="1:10" x14ac:dyDescent="0.25">
      <c r="A4189" t="s">
        <v>204</v>
      </c>
      <c r="B4189" t="s">
        <v>204</v>
      </c>
      <c r="C4189">
        <v>2632</v>
      </c>
      <c r="D4189" t="s">
        <v>204</v>
      </c>
      <c r="E4189">
        <v>2632</v>
      </c>
      <c r="F4189" s="1">
        <v>2.0000000000000001E-4</v>
      </c>
      <c r="G4189" s="1">
        <v>2E-3</v>
      </c>
      <c r="H4189" s="1">
        <v>1E-4</v>
      </c>
      <c r="I4189" s="1">
        <v>3.8300000000000001E-2</v>
      </c>
      <c r="J4189" s="1">
        <v>0.95940000000000003</v>
      </c>
    </row>
    <row r="4191" spans="1:10" x14ac:dyDescent="0.25">
      <c r="A4191" t="s">
        <v>960</v>
      </c>
    </row>
    <row r="4192" spans="1:10" x14ac:dyDescent="0.25">
      <c r="A4192" t="s">
        <v>190</v>
      </c>
      <c r="B4192" t="s">
        <v>206</v>
      </c>
      <c r="C4192" t="s">
        <v>195</v>
      </c>
      <c r="D4192" t="s">
        <v>189</v>
      </c>
      <c r="E4192" t="s">
        <v>196</v>
      </c>
      <c r="F4192" t="s">
        <v>220</v>
      </c>
      <c r="G4192" t="s">
        <v>952</v>
      </c>
      <c r="H4192" t="s">
        <v>215</v>
      </c>
      <c r="I4192" t="s">
        <v>954</v>
      </c>
      <c r="J4192" t="s">
        <v>955</v>
      </c>
    </row>
    <row r="4193" spans="1:10" x14ac:dyDescent="0.25">
      <c r="A4193" t="s">
        <v>198</v>
      </c>
      <c r="B4193" t="s">
        <v>348</v>
      </c>
      <c r="C4193">
        <v>79</v>
      </c>
      <c r="D4193" t="s">
        <v>197</v>
      </c>
      <c r="E4193">
        <v>2632</v>
      </c>
      <c r="I4193" s="1">
        <v>6.0299999999999999E-2</v>
      </c>
      <c r="J4193" s="1">
        <v>0.93969999999999998</v>
      </c>
    </row>
    <row r="4194" spans="1:10" s="29" customFormat="1" x14ac:dyDescent="0.25">
      <c r="A4194" s="29" t="s">
        <v>198</v>
      </c>
      <c r="B4194" s="29" t="s">
        <v>349</v>
      </c>
      <c r="C4194" s="29">
        <v>3</v>
      </c>
      <c r="D4194" s="29" t="s">
        <v>197</v>
      </c>
      <c r="E4194" s="29">
        <v>2632</v>
      </c>
      <c r="J4194" s="30">
        <v>1</v>
      </c>
    </row>
    <row r="4195" spans="1:10" x14ac:dyDescent="0.25">
      <c r="A4195" t="s">
        <v>198</v>
      </c>
      <c r="B4195" t="s">
        <v>348</v>
      </c>
      <c r="C4195">
        <v>54</v>
      </c>
      <c r="D4195" t="s">
        <v>199</v>
      </c>
      <c r="E4195">
        <v>2632</v>
      </c>
      <c r="I4195" s="1">
        <v>0.01</v>
      </c>
      <c r="J4195" s="1">
        <v>0.99</v>
      </c>
    </row>
    <row r="4196" spans="1:10" x14ac:dyDescent="0.25">
      <c r="A4196" t="s">
        <v>198</v>
      </c>
      <c r="B4196" t="s">
        <v>349</v>
      </c>
      <c r="C4196">
        <v>111</v>
      </c>
      <c r="D4196" t="s">
        <v>199</v>
      </c>
      <c r="E4196">
        <v>2632</v>
      </c>
      <c r="H4196" s="1">
        <v>2E-3</v>
      </c>
      <c r="I4196" s="1">
        <v>1.66E-2</v>
      </c>
      <c r="J4196" s="1">
        <v>0.98150000000000004</v>
      </c>
    </row>
    <row r="4197" spans="1:10" x14ac:dyDescent="0.25">
      <c r="A4197" t="s">
        <v>198</v>
      </c>
      <c r="B4197" t="s">
        <v>350</v>
      </c>
      <c r="C4197">
        <v>193</v>
      </c>
      <c r="D4197" t="s">
        <v>199</v>
      </c>
      <c r="E4197">
        <v>2632</v>
      </c>
      <c r="I4197" s="1">
        <v>0.1123</v>
      </c>
      <c r="J4197" s="1">
        <v>0.88770000000000004</v>
      </c>
    </row>
    <row r="4198" spans="1:10" x14ac:dyDescent="0.25">
      <c r="A4198" t="s">
        <v>198</v>
      </c>
      <c r="B4198" t="s">
        <v>350</v>
      </c>
      <c r="C4198">
        <v>78</v>
      </c>
      <c r="D4198" t="s">
        <v>200</v>
      </c>
      <c r="E4198">
        <v>2632</v>
      </c>
      <c r="I4198" s="1">
        <v>1.2699999999999999E-2</v>
      </c>
      <c r="J4198" s="1">
        <v>0.98729999999999996</v>
      </c>
    </row>
    <row r="4199" spans="1:10" x14ac:dyDescent="0.25">
      <c r="A4199" t="s">
        <v>198</v>
      </c>
      <c r="B4199" t="s">
        <v>348</v>
      </c>
      <c r="C4199">
        <v>242</v>
      </c>
      <c r="D4199" t="s">
        <v>200</v>
      </c>
      <c r="E4199">
        <v>2632</v>
      </c>
      <c r="G4199" s="1">
        <v>5.1999999999999998E-3</v>
      </c>
      <c r="I4199" s="1">
        <v>6.2199999999999998E-2</v>
      </c>
      <c r="J4199" s="1">
        <v>0.93259999999999998</v>
      </c>
    </row>
    <row r="4200" spans="1:10" x14ac:dyDescent="0.25">
      <c r="A4200" t="s">
        <v>198</v>
      </c>
      <c r="B4200" t="s">
        <v>349</v>
      </c>
      <c r="C4200">
        <v>62</v>
      </c>
      <c r="D4200" t="s">
        <v>200</v>
      </c>
      <c r="E4200">
        <v>2632</v>
      </c>
      <c r="G4200" s="1">
        <v>1.6999999999999999E-3</v>
      </c>
      <c r="I4200" s="1">
        <v>3.0800000000000001E-2</v>
      </c>
      <c r="J4200" s="1">
        <v>0.96750000000000003</v>
      </c>
    </row>
    <row r="4201" spans="1:10" x14ac:dyDescent="0.25">
      <c r="A4201" t="s">
        <v>198</v>
      </c>
      <c r="B4201" t="s">
        <v>349</v>
      </c>
      <c r="C4201">
        <v>125</v>
      </c>
      <c r="D4201" t="s">
        <v>201</v>
      </c>
      <c r="E4201">
        <v>2632</v>
      </c>
      <c r="G4201" s="1">
        <v>5.1999999999999998E-3</v>
      </c>
      <c r="I4201" s="1">
        <v>3.2800000000000003E-2</v>
      </c>
      <c r="J4201" s="1">
        <v>0.96209999999999996</v>
      </c>
    </row>
    <row r="4202" spans="1:10" x14ac:dyDescent="0.25">
      <c r="A4202" t="s">
        <v>198</v>
      </c>
      <c r="B4202" t="s">
        <v>350</v>
      </c>
      <c r="C4202">
        <v>63</v>
      </c>
      <c r="D4202" t="s">
        <v>201</v>
      </c>
      <c r="E4202">
        <v>2632</v>
      </c>
      <c r="I4202" s="1">
        <v>2.7300000000000001E-2</v>
      </c>
      <c r="J4202" s="1">
        <v>0.97270000000000001</v>
      </c>
    </row>
    <row r="4203" spans="1:10" x14ac:dyDescent="0.25">
      <c r="A4203" t="s">
        <v>198</v>
      </c>
      <c r="B4203" t="s">
        <v>348</v>
      </c>
      <c r="C4203">
        <v>62</v>
      </c>
      <c r="D4203" t="s">
        <v>201</v>
      </c>
      <c r="E4203">
        <v>2632</v>
      </c>
      <c r="I4203" s="1">
        <v>3.73E-2</v>
      </c>
      <c r="J4203" s="1">
        <v>0.9627</v>
      </c>
    </row>
    <row r="4204" spans="1:10" x14ac:dyDescent="0.25">
      <c r="A4204" t="s">
        <v>198</v>
      </c>
      <c r="B4204" t="s">
        <v>348</v>
      </c>
      <c r="C4204">
        <v>96</v>
      </c>
      <c r="D4204" t="s">
        <v>202</v>
      </c>
      <c r="E4204">
        <v>2632</v>
      </c>
      <c r="I4204" s="1">
        <v>0.1084</v>
      </c>
      <c r="J4204" s="1">
        <v>0.89159999999999995</v>
      </c>
    </row>
    <row r="4205" spans="1:10" x14ac:dyDescent="0.25">
      <c r="A4205" t="s">
        <v>203</v>
      </c>
      <c r="B4205" t="s">
        <v>349</v>
      </c>
      <c r="C4205">
        <v>171</v>
      </c>
      <c r="D4205" t="s">
        <v>199</v>
      </c>
      <c r="E4205">
        <v>2632</v>
      </c>
      <c r="I4205" s="1">
        <v>7.1000000000000004E-3</v>
      </c>
      <c r="J4205" s="1">
        <v>0.9929</v>
      </c>
    </row>
    <row r="4206" spans="1:10" x14ac:dyDescent="0.25">
      <c r="A4206" t="s">
        <v>203</v>
      </c>
      <c r="B4206" t="s">
        <v>348</v>
      </c>
      <c r="C4206">
        <v>42</v>
      </c>
      <c r="D4206" t="s">
        <v>199</v>
      </c>
      <c r="E4206">
        <v>2632</v>
      </c>
      <c r="I4206" s="1">
        <v>0.01</v>
      </c>
      <c r="J4206" s="1">
        <v>0.99</v>
      </c>
    </row>
    <row r="4207" spans="1:10" x14ac:dyDescent="0.25">
      <c r="A4207" t="s">
        <v>203</v>
      </c>
      <c r="B4207" t="s">
        <v>350</v>
      </c>
      <c r="C4207">
        <v>306</v>
      </c>
      <c r="D4207" t="s">
        <v>199</v>
      </c>
      <c r="E4207">
        <v>2632</v>
      </c>
      <c r="F4207" s="1">
        <v>2E-3</v>
      </c>
      <c r="I4207" s="1">
        <v>1.9800000000000002E-2</v>
      </c>
      <c r="J4207" s="1">
        <v>0.97819999999999996</v>
      </c>
    </row>
    <row r="4208" spans="1:10" x14ac:dyDescent="0.25">
      <c r="A4208" t="s">
        <v>203</v>
      </c>
      <c r="B4208" t="s">
        <v>348</v>
      </c>
      <c r="C4208">
        <v>300</v>
      </c>
      <c r="D4208" t="s">
        <v>200</v>
      </c>
      <c r="E4208">
        <v>2632</v>
      </c>
      <c r="G4208" s="1">
        <v>4.0000000000000001E-3</v>
      </c>
      <c r="I4208" s="1">
        <v>1.35E-2</v>
      </c>
      <c r="J4208" s="1">
        <v>0.98250000000000004</v>
      </c>
    </row>
    <row r="4209" spans="1:11" x14ac:dyDescent="0.25">
      <c r="A4209" t="s">
        <v>203</v>
      </c>
      <c r="B4209" t="s">
        <v>349</v>
      </c>
      <c r="C4209">
        <v>108</v>
      </c>
      <c r="D4209" t="s">
        <v>200</v>
      </c>
      <c r="E4209">
        <v>2632</v>
      </c>
      <c r="I4209" s="1">
        <v>2.3099999999999999E-2</v>
      </c>
      <c r="J4209" s="1">
        <v>0.97689999999999999</v>
      </c>
    </row>
    <row r="4210" spans="1:11" x14ac:dyDescent="0.25">
      <c r="A4210" t="s">
        <v>203</v>
      </c>
      <c r="B4210" t="s">
        <v>350</v>
      </c>
      <c r="C4210">
        <v>94</v>
      </c>
      <c r="D4210" t="s">
        <v>200</v>
      </c>
      <c r="E4210">
        <v>2632</v>
      </c>
      <c r="G4210" s="1">
        <v>1.55E-2</v>
      </c>
      <c r="I4210" s="1">
        <v>3.09E-2</v>
      </c>
      <c r="J4210" s="1">
        <v>0.9536</v>
      </c>
    </row>
    <row r="4211" spans="1:11" x14ac:dyDescent="0.25">
      <c r="A4211" t="s">
        <v>203</v>
      </c>
      <c r="B4211" t="s">
        <v>348</v>
      </c>
      <c r="C4211">
        <v>62</v>
      </c>
      <c r="D4211" t="s">
        <v>201</v>
      </c>
      <c r="E4211">
        <v>2632</v>
      </c>
      <c r="I4211" s="1">
        <v>3.8699999999999998E-2</v>
      </c>
      <c r="J4211" s="1">
        <v>0.96130000000000004</v>
      </c>
    </row>
    <row r="4212" spans="1:11" x14ac:dyDescent="0.25">
      <c r="A4212" t="s">
        <v>203</v>
      </c>
      <c r="B4212" t="s">
        <v>349</v>
      </c>
      <c r="C4212">
        <v>147</v>
      </c>
      <c r="D4212" t="s">
        <v>201</v>
      </c>
      <c r="E4212">
        <v>2632</v>
      </c>
      <c r="I4212" s="1">
        <v>1.9900000000000001E-2</v>
      </c>
      <c r="J4212" s="1">
        <v>0.98009999999999997</v>
      </c>
    </row>
    <row r="4213" spans="1:11" x14ac:dyDescent="0.25">
      <c r="A4213" t="s">
        <v>203</v>
      </c>
      <c r="B4213" t="s">
        <v>350</v>
      </c>
      <c r="C4213">
        <v>105</v>
      </c>
      <c r="D4213" t="s">
        <v>201</v>
      </c>
      <c r="E4213">
        <v>2632</v>
      </c>
      <c r="I4213" s="1">
        <v>3.7999999999999999E-2</v>
      </c>
      <c r="J4213" s="1">
        <v>0.96199999999999997</v>
      </c>
    </row>
    <row r="4214" spans="1:11" x14ac:dyDescent="0.25">
      <c r="A4214" t="s">
        <v>203</v>
      </c>
      <c r="B4214" t="s">
        <v>348</v>
      </c>
      <c r="C4214">
        <v>90</v>
      </c>
      <c r="D4214" t="s">
        <v>202</v>
      </c>
      <c r="E4214">
        <v>2632</v>
      </c>
      <c r="I4214" s="1">
        <v>1.89E-2</v>
      </c>
      <c r="J4214" s="1">
        <v>0.98109999999999997</v>
      </c>
    </row>
    <row r="4215" spans="1:11" x14ac:dyDescent="0.25">
      <c r="A4215" t="s">
        <v>204</v>
      </c>
      <c r="B4215" t="s">
        <v>204</v>
      </c>
      <c r="C4215">
        <v>2632</v>
      </c>
      <c r="D4215" t="s">
        <v>204</v>
      </c>
      <c r="E4215">
        <v>2632</v>
      </c>
      <c r="F4215" s="1">
        <v>2.0000000000000001E-4</v>
      </c>
      <c r="G4215" s="1">
        <v>2E-3</v>
      </c>
      <c r="H4215" s="1">
        <v>1E-4</v>
      </c>
      <c r="I4215" s="1">
        <v>3.8300000000000001E-2</v>
      </c>
      <c r="J4215" s="1">
        <v>0.95940000000000003</v>
      </c>
    </row>
    <row r="4217" spans="1:11" x14ac:dyDescent="0.25">
      <c r="A4217" t="s">
        <v>961</v>
      </c>
    </row>
    <row r="4218" spans="1:11" x14ac:dyDescent="0.25">
      <c r="A4218" t="s">
        <v>190</v>
      </c>
      <c r="B4218" t="s">
        <v>195</v>
      </c>
      <c r="C4218" t="s">
        <v>189</v>
      </c>
      <c r="D4218" t="s">
        <v>196</v>
      </c>
      <c r="E4218" t="s">
        <v>962</v>
      </c>
      <c r="F4218" t="s">
        <v>963</v>
      </c>
      <c r="G4218" t="s">
        <v>220</v>
      </c>
      <c r="H4218" t="s">
        <v>964</v>
      </c>
      <c r="I4218" t="s">
        <v>965</v>
      </c>
      <c r="J4218" t="s">
        <v>271</v>
      </c>
      <c r="K4218" t="s">
        <v>966</v>
      </c>
    </row>
    <row r="4219" spans="1:11" x14ac:dyDescent="0.25">
      <c r="A4219" t="s">
        <v>198</v>
      </c>
      <c r="B4219">
        <v>82</v>
      </c>
      <c r="C4219" t="s">
        <v>197</v>
      </c>
      <c r="D4219">
        <v>2632</v>
      </c>
      <c r="F4219" s="1">
        <v>0.39810000000000001</v>
      </c>
      <c r="G4219" s="1">
        <v>7.4999999999999997E-3</v>
      </c>
      <c r="H4219" s="1">
        <v>2.9899999999999999E-2</v>
      </c>
      <c r="I4219" s="1">
        <v>0.36349999999999999</v>
      </c>
      <c r="K4219" s="1">
        <v>0.30509999999999998</v>
      </c>
    </row>
    <row r="4220" spans="1:11" x14ac:dyDescent="0.25">
      <c r="A4220" t="s">
        <v>198</v>
      </c>
      <c r="B4220">
        <v>367</v>
      </c>
      <c r="C4220" t="s">
        <v>199</v>
      </c>
      <c r="D4220">
        <v>2632</v>
      </c>
      <c r="E4220" s="1">
        <v>7.3000000000000001E-3</v>
      </c>
      <c r="F4220" s="1">
        <v>0.56610000000000005</v>
      </c>
      <c r="H4220" s="1">
        <v>5.5100000000000003E-2</v>
      </c>
      <c r="I4220" s="1">
        <v>0.21110000000000001</v>
      </c>
      <c r="J4220" s="1">
        <v>6.7999999999999996E-3</v>
      </c>
      <c r="K4220" s="1">
        <v>0.22950000000000001</v>
      </c>
    </row>
    <row r="4221" spans="1:11" x14ac:dyDescent="0.25">
      <c r="A4221" t="s">
        <v>198</v>
      </c>
      <c r="B4221">
        <v>387</v>
      </c>
      <c r="C4221" t="s">
        <v>200</v>
      </c>
      <c r="D4221">
        <v>2632</v>
      </c>
      <c r="E4221" s="1">
        <v>4.5999999999999999E-3</v>
      </c>
      <c r="F4221" s="1">
        <v>0.63080000000000003</v>
      </c>
      <c r="G4221" s="1">
        <v>1.6000000000000001E-3</v>
      </c>
      <c r="H4221" s="1">
        <v>5.57E-2</v>
      </c>
      <c r="I4221" s="1">
        <v>0.21229999999999999</v>
      </c>
      <c r="K4221" s="1">
        <v>0.128</v>
      </c>
    </row>
    <row r="4222" spans="1:11" x14ac:dyDescent="0.25">
      <c r="A4222" t="s">
        <v>198</v>
      </c>
      <c r="B4222">
        <v>256</v>
      </c>
      <c r="C4222" t="s">
        <v>201</v>
      </c>
      <c r="D4222">
        <v>2632</v>
      </c>
      <c r="E4222" s="1">
        <v>1.9199999999999998E-2</v>
      </c>
      <c r="F4222" s="1">
        <v>0.47460000000000002</v>
      </c>
      <c r="G4222" s="1">
        <v>1.29E-2</v>
      </c>
      <c r="H4222" s="1">
        <v>0.10299999999999999</v>
      </c>
      <c r="I4222" s="1">
        <v>0.2863</v>
      </c>
      <c r="J4222" s="1">
        <v>9.2999999999999992E-3</v>
      </c>
      <c r="K4222" s="1">
        <v>0.16500000000000001</v>
      </c>
    </row>
    <row r="4223" spans="1:11" x14ac:dyDescent="0.25">
      <c r="A4223" t="s">
        <v>198</v>
      </c>
      <c r="B4223">
        <v>96</v>
      </c>
      <c r="C4223" t="s">
        <v>202</v>
      </c>
      <c r="D4223">
        <v>2632</v>
      </c>
      <c r="F4223" s="1">
        <v>0.49569999999999997</v>
      </c>
      <c r="H4223" s="1">
        <v>0.1341</v>
      </c>
      <c r="I4223" s="1">
        <v>0.38379999999999997</v>
      </c>
      <c r="J4223" s="1">
        <v>2.5000000000000001E-3</v>
      </c>
      <c r="K4223" s="1">
        <v>0.12889999999999999</v>
      </c>
    </row>
    <row r="4224" spans="1:11" x14ac:dyDescent="0.25">
      <c r="A4224" t="s">
        <v>203</v>
      </c>
      <c r="B4224">
        <v>530</v>
      </c>
      <c r="C4224" t="s">
        <v>199</v>
      </c>
      <c r="D4224">
        <v>2632</v>
      </c>
      <c r="E4224" s="1">
        <v>1.2999999999999999E-2</v>
      </c>
      <c r="F4224" s="1">
        <v>0.6018</v>
      </c>
      <c r="G4224" s="1">
        <v>1.4E-3</v>
      </c>
      <c r="H4224" s="1">
        <v>5.2400000000000002E-2</v>
      </c>
      <c r="I4224" s="1">
        <v>0.25679999999999997</v>
      </c>
      <c r="J4224" s="1">
        <v>8.0000000000000002E-3</v>
      </c>
      <c r="K4224" s="1">
        <v>0.13700000000000001</v>
      </c>
    </row>
    <row r="4225" spans="1:11" x14ac:dyDescent="0.25">
      <c r="A4225" t="s">
        <v>203</v>
      </c>
      <c r="B4225">
        <v>503</v>
      </c>
      <c r="C4225" t="s">
        <v>200</v>
      </c>
      <c r="D4225">
        <v>2632</v>
      </c>
      <c r="E4225" s="1">
        <v>3.7000000000000002E-3</v>
      </c>
      <c r="F4225" s="1">
        <v>0.70409999999999995</v>
      </c>
      <c r="H4225" s="1">
        <v>5.8500000000000003E-2</v>
      </c>
      <c r="I4225" s="1">
        <v>0.1963</v>
      </c>
      <c r="K4225" s="1">
        <v>9.8699999999999996E-2</v>
      </c>
    </row>
    <row r="4226" spans="1:11" x14ac:dyDescent="0.25">
      <c r="A4226" t="s">
        <v>203</v>
      </c>
      <c r="B4226">
        <v>321</v>
      </c>
      <c r="C4226" t="s">
        <v>201</v>
      </c>
      <c r="D4226">
        <v>2632</v>
      </c>
      <c r="E4226" s="1">
        <v>1.77E-2</v>
      </c>
      <c r="F4226" s="1">
        <v>0.39879999999999999</v>
      </c>
      <c r="H4226" s="1">
        <v>7.17E-2</v>
      </c>
      <c r="I4226" s="1">
        <v>0.40179999999999999</v>
      </c>
      <c r="K4226" s="1">
        <v>0.2021</v>
      </c>
    </row>
    <row r="4227" spans="1:11" x14ac:dyDescent="0.25">
      <c r="A4227" t="s">
        <v>203</v>
      </c>
      <c r="B4227">
        <v>90</v>
      </c>
      <c r="C4227" t="s">
        <v>202</v>
      </c>
      <c r="D4227">
        <v>2632</v>
      </c>
      <c r="E4227" s="1">
        <v>1.0200000000000001E-2</v>
      </c>
      <c r="F4227" s="1">
        <v>0.55689999999999995</v>
      </c>
      <c r="H4227" s="1">
        <v>6.1199999999999997E-2</v>
      </c>
      <c r="I4227" s="1">
        <v>0.38129999999999997</v>
      </c>
      <c r="J4227" s="1">
        <v>4.8999999999999998E-3</v>
      </c>
      <c r="K4227" s="1">
        <v>0.114</v>
      </c>
    </row>
    <row r="4228" spans="1:11" x14ac:dyDescent="0.25">
      <c r="A4228" t="s">
        <v>204</v>
      </c>
      <c r="B4228">
        <v>2632</v>
      </c>
      <c r="C4228" t="s">
        <v>204</v>
      </c>
      <c r="D4228">
        <v>2632</v>
      </c>
      <c r="E4228" s="1">
        <v>6.7000000000000002E-3</v>
      </c>
      <c r="F4228" s="1">
        <v>0.58989999999999998</v>
      </c>
      <c r="G4228" s="1">
        <v>1.5E-3</v>
      </c>
      <c r="H4228" s="1">
        <v>6.5199999999999994E-2</v>
      </c>
      <c r="I4228" s="1">
        <v>0.26140000000000002</v>
      </c>
      <c r="J4228" s="1">
        <v>2.8E-3</v>
      </c>
      <c r="K4228" s="1">
        <v>0.14960000000000001</v>
      </c>
    </row>
    <row r="4230" spans="1:11" x14ac:dyDescent="0.25">
      <c r="A4230" t="s">
        <v>961</v>
      </c>
    </row>
    <row r="4231" spans="1:11" x14ac:dyDescent="0.25">
      <c r="A4231" t="s">
        <v>190</v>
      </c>
      <c r="B4231" t="s">
        <v>195</v>
      </c>
      <c r="C4231" t="s">
        <v>189</v>
      </c>
      <c r="D4231" t="s">
        <v>196</v>
      </c>
      <c r="E4231" t="s">
        <v>962</v>
      </c>
      <c r="F4231" t="s">
        <v>963</v>
      </c>
      <c r="G4231" t="s">
        <v>220</v>
      </c>
      <c r="H4231" t="s">
        <v>964</v>
      </c>
      <c r="I4231" t="s">
        <v>965</v>
      </c>
      <c r="J4231" t="s">
        <v>271</v>
      </c>
      <c r="K4231" t="s">
        <v>966</v>
      </c>
    </row>
    <row r="4232" spans="1:11" x14ac:dyDescent="0.25">
      <c r="A4232" t="s">
        <v>198</v>
      </c>
      <c r="B4232">
        <v>82</v>
      </c>
      <c r="C4232" t="s">
        <v>197</v>
      </c>
      <c r="D4232">
        <v>2632</v>
      </c>
      <c r="F4232" s="1">
        <v>0.39810000000000001</v>
      </c>
      <c r="G4232" s="1">
        <v>7.4999999999999997E-3</v>
      </c>
      <c r="H4232" s="1">
        <v>2.9899999999999999E-2</v>
      </c>
      <c r="I4232" s="1">
        <v>0.36349999999999999</v>
      </c>
      <c r="K4232" s="1">
        <v>0.30509999999999998</v>
      </c>
    </row>
    <row r="4233" spans="1:11" x14ac:dyDescent="0.25">
      <c r="A4233" t="s">
        <v>198</v>
      </c>
      <c r="B4233">
        <v>367</v>
      </c>
      <c r="C4233" t="s">
        <v>199</v>
      </c>
      <c r="D4233">
        <v>2632</v>
      </c>
      <c r="E4233" s="1">
        <v>7.3000000000000001E-3</v>
      </c>
      <c r="F4233" s="1">
        <v>0.56610000000000005</v>
      </c>
      <c r="H4233" s="1">
        <v>5.5100000000000003E-2</v>
      </c>
      <c r="I4233" s="1">
        <v>0.21110000000000001</v>
      </c>
      <c r="J4233" s="1">
        <v>6.7999999999999996E-3</v>
      </c>
      <c r="K4233" s="1">
        <v>0.22950000000000001</v>
      </c>
    </row>
    <row r="4234" spans="1:11" x14ac:dyDescent="0.25">
      <c r="A4234" t="s">
        <v>198</v>
      </c>
      <c r="B4234">
        <v>387</v>
      </c>
      <c r="C4234" t="s">
        <v>200</v>
      </c>
      <c r="D4234">
        <v>2632</v>
      </c>
      <c r="E4234" s="1">
        <v>4.5999999999999999E-3</v>
      </c>
      <c r="F4234" s="1">
        <v>0.63080000000000003</v>
      </c>
      <c r="G4234" s="1">
        <v>1.6000000000000001E-3</v>
      </c>
      <c r="H4234" s="1">
        <v>5.57E-2</v>
      </c>
      <c r="I4234" s="1">
        <v>0.21229999999999999</v>
      </c>
      <c r="K4234" s="1">
        <v>0.128</v>
      </c>
    </row>
    <row r="4235" spans="1:11" x14ac:dyDescent="0.25">
      <c r="A4235" t="s">
        <v>198</v>
      </c>
      <c r="B4235">
        <v>256</v>
      </c>
      <c r="C4235" t="s">
        <v>201</v>
      </c>
      <c r="D4235">
        <v>2632</v>
      </c>
      <c r="E4235" s="1">
        <v>1.9199999999999998E-2</v>
      </c>
      <c r="F4235" s="1">
        <v>0.47460000000000002</v>
      </c>
      <c r="G4235" s="1">
        <v>1.29E-2</v>
      </c>
      <c r="H4235" s="1">
        <v>0.10299999999999999</v>
      </c>
      <c r="I4235" s="1">
        <v>0.2863</v>
      </c>
      <c r="J4235" s="1">
        <v>9.2999999999999992E-3</v>
      </c>
      <c r="K4235" s="1">
        <v>0.16500000000000001</v>
      </c>
    </row>
    <row r="4236" spans="1:11" x14ac:dyDescent="0.25">
      <c r="A4236" t="s">
        <v>198</v>
      </c>
      <c r="B4236">
        <v>96</v>
      </c>
      <c r="C4236" t="s">
        <v>202</v>
      </c>
      <c r="D4236">
        <v>2632</v>
      </c>
      <c r="F4236" s="1">
        <v>0.49569999999999997</v>
      </c>
      <c r="H4236" s="1">
        <v>0.1341</v>
      </c>
      <c r="I4236" s="1">
        <v>0.38379999999999997</v>
      </c>
      <c r="J4236" s="1">
        <v>2.5000000000000001E-3</v>
      </c>
      <c r="K4236" s="1">
        <v>0.12889999999999999</v>
      </c>
    </row>
    <row r="4237" spans="1:11" x14ac:dyDescent="0.25">
      <c r="A4237" t="s">
        <v>203</v>
      </c>
      <c r="B4237">
        <v>530</v>
      </c>
      <c r="C4237" t="s">
        <v>199</v>
      </c>
      <c r="D4237">
        <v>2632</v>
      </c>
      <c r="E4237" s="1">
        <v>1.2999999999999999E-2</v>
      </c>
      <c r="F4237" s="1">
        <v>0.6018</v>
      </c>
      <c r="G4237" s="1">
        <v>1.4E-3</v>
      </c>
      <c r="H4237" s="1">
        <v>5.2400000000000002E-2</v>
      </c>
      <c r="I4237" s="1">
        <v>0.25679999999999997</v>
      </c>
      <c r="J4237" s="1">
        <v>8.0000000000000002E-3</v>
      </c>
      <c r="K4237" s="1">
        <v>0.13700000000000001</v>
      </c>
    </row>
    <row r="4238" spans="1:11" x14ac:dyDescent="0.25">
      <c r="A4238" t="s">
        <v>203</v>
      </c>
      <c r="B4238">
        <v>503</v>
      </c>
      <c r="C4238" t="s">
        <v>200</v>
      </c>
      <c r="D4238">
        <v>2632</v>
      </c>
      <c r="E4238" s="1">
        <v>3.7000000000000002E-3</v>
      </c>
      <c r="F4238" s="1">
        <v>0.70409999999999995</v>
      </c>
      <c r="H4238" s="1">
        <v>5.8500000000000003E-2</v>
      </c>
      <c r="I4238" s="1">
        <v>0.1963</v>
      </c>
      <c r="K4238" s="1">
        <v>9.8699999999999996E-2</v>
      </c>
    </row>
    <row r="4239" spans="1:11" x14ac:dyDescent="0.25">
      <c r="A4239" t="s">
        <v>203</v>
      </c>
      <c r="B4239">
        <v>321</v>
      </c>
      <c r="C4239" t="s">
        <v>201</v>
      </c>
      <c r="D4239">
        <v>2632</v>
      </c>
      <c r="E4239" s="1">
        <v>1.77E-2</v>
      </c>
      <c r="F4239" s="1">
        <v>0.39879999999999999</v>
      </c>
      <c r="H4239" s="1">
        <v>7.17E-2</v>
      </c>
      <c r="I4239" s="1">
        <v>0.40179999999999999</v>
      </c>
      <c r="K4239" s="1">
        <v>0.2021</v>
      </c>
    </row>
    <row r="4240" spans="1:11" x14ac:dyDescent="0.25">
      <c r="A4240" t="s">
        <v>203</v>
      </c>
      <c r="B4240">
        <v>90</v>
      </c>
      <c r="C4240" t="s">
        <v>202</v>
      </c>
      <c r="D4240">
        <v>2632</v>
      </c>
      <c r="E4240" s="1">
        <v>1.0200000000000001E-2</v>
      </c>
      <c r="F4240" s="1">
        <v>0.55689999999999995</v>
      </c>
      <c r="H4240" s="1">
        <v>6.1199999999999997E-2</v>
      </c>
      <c r="I4240" s="1">
        <v>0.38129999999999997</v>
      </c>
      <c r="J4240" s="1">
        <v>4.8999999999999998E-3</v>
      </c>
      <c r="K4240" s="1">
        <v>0.114</v>
      </c>
    </row>
    <row r="4241" spans="1:12" x14ac:dyDescent="0.25">
      <c r="A4241" t="s">
        <v>204</v>
      </c>
      <c r="B4241">
        <v>2632</v>
      </c>
      <c r="C4241" t="s">
        <v>204</v>
      </c>
      <c r="D4241">
        <v>2632</v>
      </c>
      <c r="E4241" s="1">
        <v>6.7000000000000002E-3</v>
      </c>
      <c r="F4241" s="1">
        <v>0.58989999999999998</v>
      </c>
      <c r="G4241" s="1">
        <v>1.5E-3</v>
      </c>
      <c r="H4241" s="1">
        <v>6.5199999999999994E-2</v>
      </c>
      <c r="I4241" s="1">
        <v>0.26140000000000002</v>
      </c>
      <c r="J4241" s="1">
        <v>2.8E-3</v>
      </c>
      <c r="K4241" s="1">
        <v>0.14960000000000001</v>
      </c>
    </row>
    <row r="4243" spans="1:12" x14ac:dyDescent="0.25">
      <c r="A4243" t="s">
        <v>967</v>
      </c>
    </row>
    <row r="4244" spans="1:12" x14ac:dyDescent="0.25">
      <c r="A4244" t="s">
        <v>190</v>
      </c>
      <c r="B4244" t="s">
        <v>206</v>
      </c>
      <c r="C4244" t="s">
        <v>195</v>
      </c>
      <c r="D4244" t="s">
        <v>189</v>
      </c>
      <c r="E4244" t="s">
        <v>196</v>
      </c>
      <c r="F4244" t="s">
        <v>962</v>
      </c>
      <c r="G4244" t="s">
        <v>963</v>
      </c>
      <c r="H4244" t="s">
        <v>220</v>
      </c>
      <c r="I4244" t="s">
        <v>964</v>
      </c>
      <c r="J4244" t="s">
        <v>965</v>
      </c>
      <c r="K4244" t="s">
        <v>271</v>
      </c>
      <c r="L4244" t="s">
        <v>966</v>
      </c>
    </row>
    <row r="4245" spans="1:12" x14ac:dyDescent="0.25">
      <c r="A4245" t="s">
        <v>198</v>
      </c>
      <c r="B4245" t="s">
        <v>228</v>
      </c>
      <c r="C4245">
        <v>33</v>
      </c>
      <c r="D4245" t="s">
        <v>197</v>
      </c>
      <c r="E4245">
        <v>2632</v>
      </c>
      <c r="G4245" s="1">
        <v>2.5600000000000001E-2</v>
      </c>
      <c r="J4245" s="1">
        <v>0.56110000000000004</v>
      </c>
      <c r="L4245" s="1">
        <v>0.57340000000000002</v>
      </c>
    </row>
    <row r="4246" spans="1:12" x14ac:dyDescent="0.25">
      <c r="A4246" t="s">
        <v>198</v>
      </c>
      <c r="B4246" t="s">
        <v>229</v>
      </c>
      <c r="C4246">
        <v>49</v>
      </c>
      <c r="D4246" t="s">
        <v>197</v>
      </c>
      <c r="E4246">
        <v>2632</v>
      </c>
      <c r="G4246" s="1">
        <v>0.68130000000000002</v>
      </c>
      <c r="H4246" s="1">
        <v>1.32E-2</v>
      </c>
      <c r="I4246" s="1">
        <v>5.2699999999999997E-2</v>
      </c>
      <c r="J4246" s="1">
        <v>0.21329999999999999</v>
      </c>
      <c r="L4246" s="1">
        <v>0.1011</v>
      </c>
    </row>
    <row r="4247" spans="1:12" x14ac:dyDescent="0.25">
      <c r="A4247" t="s">
        <v>198</v>
      </c>
      <c r="B4247" t="s">
        <v>228</v>
      </c>
      <c r="C4247">
        <v>144</v>
      </c>
      <c r="D4247" t="s">
        <v>199</v>
      </c>
      <c r="E4247">
        <v>2632</v>
      </c>
      <c r="F4247" s="1">
        <v>1.61E-2</v>
      </c>
      <c r="G4247" s="1">
        <v>0.2152</v>
      </c>
      <c r="I4247" s="1">
        <v>5.28E-2</v>
      </c>
      <c r="J4247" s="1">
        <v>0.29880000000000001</v>
      </c>
      <c r="L4247" s="1">
        <v>0.61360000000000003</v>
      </c>
    </row>
    <row r="4248" spans="1:12" x14ac:dyDescent="0.25">
      <c r="A4248" t="s">
        <v>198</v>
      </c>
      <c r="B4248" t="s">
        <v>229</v>
      </c>
      <c r="C4248">
        <v>213</v>
      </c>
      <c r="D4248" t="s">
        <v>199</v>
      </c>
      <c r="E4248">
        <v>2632</v>
      </c>
      <c r="F4248" s="1">
        <v>3.8999999999999998E-3</v>
      </c>
      <c r="G4248" s="1">
        <v>0.69169999999999998</v>
      </c>
      <c r="I4248" s="1">
        <v>5.6399999999999999E-2</v>
      </c>
      <c r="J4248" s="1">
        <v>0.17960000000000001</v>
      </c>
      <c r="K4248" s="1">
        <v>9.1999999999999998E-3</v>
      </c>
      <c r="L4248" s="1">
        <v>9.2399999999999996E-2</v>
      </c>
    </row>
    <row r="4249" spans="1:12" x14ac:dyDescent="0.25">
      <c r="A4249" t="s">
        <v>198</v>
      </c>
      <c r="B4249" t="s">
        <v>229</v>
      </c>
      <c r="C4249">
        <v>270</v>
      </c>
      <c r="D4249" t="s">
        <v>200</v>
      </c>
      <c r="E4249">
        <v>2632</v>
      </c>
      <c r="F4249" s="1">
        <v>6.0000000000000001E-3</v>
      </c>
      <c r="G4249" s="1">
        <v>0.75860000000000005</v>
      </c>
      <c r="I4249" s="1">
        <v>5.2999999999999999E-2</v>
      </c>
      <c r="J4249" s="1">
        <v>0.1487</v>
      </c>
      <c r="L4249" s="1">
        <v>4.6100000000000002E-2</v>
      </c>
    </row>
    <row r="4250" spans="1:12" x14ac:dyDescent="0.25">
      <c r="A4250" t="s">
        <v>198</v>
      </c>
      <c r="B4250" t="s">
        <v>228</v>
      </c>
      <c r="C4250">
        <v>112</v>
      </c>
      <c r="D4250" t="s">
        <v>200</v>
      </c>
      <c r="E4250">
        <v>2632</v>
      </c>
      <c r="G4250" s="1">
        <v>0.22040000000000001</v>
      </c>
      <c r="H4250" s="1">
        <v>6.8999999999999999E-3</v>
      </c>
      <c r="I4250" s="1">
        <v>6.6299999999999998E-2</v>
      </c>
      <c r="J4250" s="1">
        <v>0.40770000000000001</v>
      </c>
      <c r="L4250" s="1">
        <v>0.4007</v>
      </c>
    </row>
    <row r="4251" spans="1:12" x14ac:dyDescent="0.25">
      <c r="A4251" t="s">
        <v>198</v>
      </c>
      <c r="B4251" t="s">
        <v>228</v>
      </c>
      <c r="C4251">
        <v>95</v>
      </c>
      <c r="D4251" t="s">
        <v>201</v>
      </c>
      <c r="E4251">
        <v>2632</v>
      </c>
      <c r="F4251" s="1">
        <v>8.14E-2</v>
      </c>
      <c r="G4251" s="1">
        <v>0.13900000000000001</v>
      </c>
      <c r="I4251" s="1">
        <v>7.5499999999999998E-2</v>
      </c>
      <c r="J4251" s="1">
        <v>0.36049999999999999</v>
      </c>
      <c r="L4251" s="1">
        <v>0.54339999999999999</v>
      </c>
    </row>
    <row r="4252" spans="1:12" x14ac:dyDescent="0.25">
      <c r="A4252" t="s">
        <v>198</v>
      </c>
      <c r="B4252" t="s">
        <v>229</v>
      </c>
      <c r="C4252">
        <v>155</v>
      </c>
      <c r="D4252" t="s">
        <v>201</v>
      </c>
      <c r="E4252">
        <v>2632</v>
      </c>
      <c r="F4252" s="1">
        <v>1.6000000000000001E-3</v>
      </c>
      <c r="G4252" s="1">
        <v>0.57310000000000005</v>
      </c>
      <c r="H4252" s="1">
        <v>1.66E-2</v>
      </c>
      <c r="I4252" s="1">
        <v>0.1061</v>
      </c>
      <c r="J4252" s="1">
        <v>0.2641</v>
      </c>
      <c r="K4252" s="1">
        <v>1.2E-2</v>
      </c>
      <c r="L4252" s="1">
        <v>6.1400000000000003E-2</v>
      </c>
    </row>
    <row r="4253" spans="1:12" s="29" customFormat="1" x14ac:dyDescent="0.25">
      <c r="A4253" s="29" t="s">
        <v>198</v>
      </c>
      <c r="B4253" s="29" t="s">
        <v>228</v>
      </c>
      <c r="C4253" s="29">
        <v>28</v>
      </c>
      <c r="D4253" s="29" t="s">
        <v>202</v>
      </c>
      <c r="E4253" s="29">
        <v>2632</v>
      </c>
      <c r="G4253" s="30">
        <v>0.25180000000000002</v>
      </c>
      <c r="I4253" s="30">
        <v>0.20530000000000001</v>
      </c>
      <c r="J4253" s="30">
        <v>0.48420000000000002</v>
      </c>
      <c r="L4253" s="30">
        <v>0.31080000000000002</v>
      </c>
    </row>
    <row r="4254" spans="1:12" x14ac:dyDescent="0.25">
      <c r="A4254" t="s">
        <v>198</v>
      </c>
      <c r="B4254" t="s">
        <v>229</v>
      </c>
      <c r="C4254">
        <v>68</v>
      </c>
      <c r="D4254" t="s">
        <v>202</v>
      </c>
      <c r="E4254">
        <v>2632</v>
      </c>
      <c r="G4254" s="1">
        <v>0.57110000000000005</v>
      </c>
      <c r="I4254" s="1">
        <v>0.112</v>
      </c>
      <c r="J4254" s="1">
        <v>0.35270000000000001</v>
      </c>
      <c r="K4254" s="1">
        <v>3.3E-3</v>
      </c>
      <c r="L4254" s="1">
        <v>7.2599999999999998E-2</v>
      </c>
    </row>
    <row r="4255" spans="1:12" x14ac:dyDescent="0.25">
      <c r="A4255" t="s">
        <v>203</v>
      </c>
      <c r="B4255" t="s">
        <v>229</v>
      </c>
      <c r="C4255">
        <v>370</v>
      </c>
      <c r="D4255" t="s">
        <v>199</v>
      </c>
      <c r="E4255">
        <v>2632</v>
      </c>
      <c r="F4255" s="1">
        <v>1.0999999999999999E-2</v>
      </c>
      <c r="G4255" s="1">
        <v>0.64649999999999996</v>
      </c>
      <c r="H4255" s="1">
        <v>1E-3</v>
      </c>
      <c r="I4255" s="1">
        <v>4.9500000000000002E-2</v>
      </c>
      <c r="J4255" s="1">
        <v>0.24809999999999999</v>
      </c>
      <c r="K4255" s="1">
        <v>8.9999999999999993E-3</v>
      </c>
      <c r="L4255" s="1">
        <v>9.7100000000000006E-2</v>
      </c>
    </row>
    <row r="4256" spans="1:12" x14ac:dyDescent="0.25">
      <c r="A4256" t="s">
        <v>203</v>
      </c>
      <c r="B4256" t="s">
        <v>228</v>
      </c>
      <c r="C4256">
        <v>150</v>
      </c>
      <c r="D4256" t="s">
        <v>199</v>
      </c>
      <c r="E4256">
        <v>2632</v>
      </c>
      <c r="F4256" s="1">
        <v>3.0300000000000001E-2</v>
      </c>
      <c r="G4256" s="1">
        <v>0.23350000000000001</v>
      </c>
      <c r="H4256" s="1">
        <v>4.7999999999999996E-3</v>
      </c>
      <c r="I4256" s="1">
        <v>7.9399999999999998E-2</v>
      </c>
      <c r="J4256" s="1">
        <v>0.32469999999999999</v>
      </c>
      <c r="L4256" s="1">
        <v>0.47049999999999997</v>
      </c>
    </row>
    <row r="4257" spans="1:12" x14ac:dyDescent="0.25">
      <c r="A4257" t="s">
        <v>203</v>
      </c>
      <c r="B4257" t="s">
        <v>229</v>
      </c>
      <c r="C4257">
        <v>347</v>
      </c>
      <c r="D4257" t="s">
        <v>200</v>
      </c>
      <c r="E4257">
        <v>2632</v>
      </c>
      <c r="G4257" s="1">
        <v>0.79869999999999997</v>
      </c>
      <c r="I4257" s="1">
        <v>5.0299999999999997E-2</v>
      </c>
      <c r="J4257" s="1">
        <v>0.15590000000000001</v>
      </c>
      <c r="L4257" s="1">
        <v>3.1300000000000001E-2</v>
      </c>
    </row>
    <row r="4258" spans="1:12" x14ac:dyDescent="0.25">
      <c r="A4258" t="s">
        <v>203</v>
      </c>
      <c r="B4258" t="s">
        <v>228</v>
      </c>
      <c r="C4258">
        <v>155</v>
      </c>
      <c r="D4258" t="s">
        <v>200</v>
      </c>
      <c r="E4258">
        <v>2632</v>
      </c>
      <c r="F4258" s="1">
        <v>1.9300000000000001E-2</v>
      </c>
      <c r="G4258" s="1">
        <v>0.31019999999999998</v>
      </c>
      <c r="I4258" s="1">
        <v>9.2399999999999996E-2</v>
      </c>
      <c r="J4258" s="1">
        <v>0.36430000000000001</v>
      </c>
      <c r="L4258" s="1">
        <v>0.38</v>
      </c>
    </row>
    <row r="4259" spans="1:12" x14ac:dyDescent="0.25">
      <c r="A4259" t="s">
        <v>203</v>
      </c>
      <c r="B4259" t="s">
        <v>229</v>
      </c>
      <c r="C4259">
        <v>137</v>
      </c>
      <c r="D4259" t="s">
        <v>201</v>
      </c>
      <c r="E4259">
        <v>2632</v>
      </c>
      <c r="F4259" s="1">
        <v>1.18E-2</v>
      </c>
      <c r="G4259" s="1">
        <v>0.51890000000000003</v>
      </c>
      <c r="I4259" s="1">
        <v>7.0000000000000007E-2</v>
      </c>
      <c r="J4259" s="1">
        <v>0.36030000000000001</v>
      </c>
      <c r="L4259" s="1">
        <v>0.1065</v>
      </c>
    </row>
    <row r="4260" spans="1:12" x14ac:dyDescent="0.25">
      <c r="A4260" t="s">
        <v>203</v>
      </c>
      <c r="B4260" t="s">
        <v>228</v>
      </c>
      <c r="C4260">
        <v>177</v>
      </c>
      <c r="D4260" t="s">
        <v>201</v>
      </c>
      <c r="E4260">
        <v>2632</v>
      </c>
      <c r="F4260" s="1">
        <v>3.5900000000000001E-2</v>
      </c>
      <c r="G4260" s="1">
        <v>2.1000000000000001E-2</v>
      </c>
      <c r="I4260" s="1">
        <v>7.7799999999999994E-2</v>
      </c>
      <c r="J4260" s="1">
        <v>0.53200000000000003</v>
      </c>
      <c r="L4260" s="1">
        <v>0.50309999999999999</v>
      </c>
    </row>
    <row r="4261" spans="1:12" x14ac:dyDescent="0.25">
      <c r="A4261" t="s">
        <v>203</v>
      </c>
      <c r="B4261" t="s">
        <v>228</v>
      </c>
      <c r="C4261">
        <v>34</v>
      </c>
      <c r="D4261" t="s">
        <v>202</v>
      </c>
      <c r="E4261">
        <v>2632</v>
      </c>
      <c r="G4261" s="1">
        <v>0.2666</v>
      </c>
      <c r="I4261" s="1">
        <v>0.1038</v>
      </c>
      <c r="J4261" s="1">
        <v>0.61060000000000003</v>
      </c>
      <c r="L4261" s="1">
        <v>0.26750000000000002</v>
      </c>
    </row>
    <row r="4262" spans="1:12" x14ac:dyDescent="0.25">
      <c r="A4262" t="s">
        <v>203</v>
      </c>
      <c r="B4262" t="s">
        <v>229</v>
      </c>
      <c r="C4262">
        <v>56</v>
      </c>
      <c r="D4262" t="s">
        <v>202</v>
      </c>
      <c r="E4262">
        <v>2632</v>
      </c>
      <c r="F4262" s="1">
        <v>1.43E-2</v>
      </c>
      <c r="G4262" s="1">
        <v>0.67130000000000001</v>
      </c>
      <c r="I4262" s="1">
        <v>4.4499999999999998E-2</v>
      </c>
      <c r="J4262" s="1">
        <v>0.29089999999999999</v>
      </c>
      <c r="K4262" s="1">
        <v>6.8999999999999999E-3</v>
      </c>
      <c r="L4262" s="1">
        <v>5.3499999999999999E-2</v>
      </c>
    </row>
    <row r="4263" spans="1:12" x14ac:dyDescent="0.25">
      <c r="A4263" t="s">
        <v>204</v>
      </c>
      <c r="B4263" t="s">
        <v>204</v>
      </c>
      <c r="C4263">
        <v>2632</v>
      </c>
      <c r="D4263" t="s">
        <v>204</v>
      </c>
      <c r="E4263">
        <v>2632</v>
      </c>
      <c r="F4263" s="1">
        <v>6.7000000000000002E-3</v>
      </c>
      <c r="G4263" s="1">
        <v>0.58989999999999998</v>
      </c>
      <c r="H4263" s="1">
        <v>1.5E-3</v>
      </c>
      <c r="I4263" s="1">
        <v>6.5199999999999994E-2</v>
      </c>
      <c r="J4263" s="1">
        <v>0.26140000000000002</v>
      </c>
      <c r="K4263" s="1">
        <v>2.8E-3</v>
      </c>
      <c r="L4263" s="1">
        <v>0.14960000000000001</v>
      </c>
    </row>
    <row r="4265" spans="1:12" x14ac:dyDescent="0.25">
      <c r="A4265" t="s">
        <v>968</v>
      </c>
    </row>
    <row r="4266" spans="1:12" x14ac:dyDescent="0.25">
      <c r="A4266" t="s">
        <v>190</v>
      </c>
      <c r="B4266" t="s">
        <v>206</v>
      </c>
      <c r="C4266" t="s">
        <v>195</v>
      </c>
      <c r="D4266" t="s">
        <v>189</v>
      </c>
      <c r="E4266" t="s">
        <v>196</v>
      </c>
      <c r="F4266" t="s">
        <v>962</v>
      </c>
      <c r="G4266" t="s">
        <v>963</v>
      </c>
      <c r="H4266" t="s">
        <v>220</v>
      </c>
      <c r="I4266" t="s">
        <v>964</v>
      </c>
      <c r="J4266" t="s">
        <v>965</v>
      </c>
      <c r="K4266" t="s">
        <v>271</v>
      </c>
      <c r="L4266" t="s">
        <v>966</v>
      </c>
    </row>
    <row r="4267" spans="1:12" x14ac:dyDescent="0.25">
      <c r="A4267" t="s">
        <v>198</v>
      </c>
      <c r="B4267" t="s">
        <v>348</v>
      </c>
      <c r="C4267">
        <v>79</v>
      </c>
      <c r="D4267" t="s">
        <v>197</v>
      </c>
      <c r="E4267">
        <v>2632</v>
      </c>
      <c r="G4267" s="1">
        <v>0.41170000000000001</v>
      </c>
      <c r="H4267" s="1">
        <v>7.7000000000000002E-3</v>
      </c>
      <c r="I4267" s="1">
        <v>3.1E-2</v>
      </c>
      <c r="J4267" s="1">
        <v>0.36449999999999999</v>
      </c>
      <c r="L4267" s="1">
        <v>0.29270000000000002</v>
      </c>
    </row>
    <row r="4268" spans="1:12" s="29" customFormat="1" x14ac:dyDescent="0.25">
      <c r="A4268" s="29" t="s">
        <v>198</v>
      </c>
      <c r="B4268" s="29" t="s">
        <v>349</v>
      </c>
      <c r="C4268" s="29">
        <v>3</v>
      </c>
      <c r="D4268" s="29" t="s">
        <v>197</v>
      </c>
      <c r="E4268" s="29">
        <v>2632</v>
      </c>
      <c r="J4268" s="30">
        <v>0.33329999999999999</v>
      </c>
      <c r="L4268" s="30">
        <v>0.66669999999999996</v>
      </c>
    </row>
    <row r="4269" spans="1:12" x14ac:dyDescent="0.25">
      <c r="A4269" t="s">
        <v>198</v>
      </c>
      <c r="B4269" t="s">
        <v>348</v>
      </c>
      <c r="C4269">
        <v>54</v>
      </c>
      <c r="D4269" t="s">
        <v>199</v>
      </c>
      <c r="E4269">
        <v>2632</v>
      </c>
      <c r="F4269" s="1">
        <v>3.8E-3</v>
      </c>
      <c r="G4269" s="1">
        <v>0.33529999999999999</v>
      </c>
      <c r="I4269" s="1">
        <v>0.19359999999999999</v>
      </c>
      <c r="J4269" s="1">
        <v>0.2999</v>
      </c>
      <c r="L4269" s="1">
        <v>0.1827</v>
      </c>
    </row>
    <row r="4270" spans="1:12" x14ac:dyDescent="0.25">
      <c r="A4270" t="s">
        <v>198</v>
      </c>
      <c r="B4270" t="s">
        <v>349</v>
      </c>
      <c r="C4270">
        <v>110</v>
      </c>
      <c r="D4270" t="s">
        <v>199</v>
      </c>
      <c r="E4270">
        <v>2632</v>
      </c>
      <c r="F4270" s="1">
        <v>4.4000000000000003E-3</v>
      </c>
      <c r="G4270" s="1">
        <v>0.58760000000000001</v>
      </c>
      <c r="I4270" s="1">
        <v>2.1000000000000001E-2</v>
      </c>
      <c r="J4270" s="1">
        <v>0.2288</v>
      </c>
      <c r="K4270" s="1">
        <v>1.5100000000000001E-2</v>
      </c>
      <c r="L4270" s="1">
        <v>0.26769999999999999</v>
      </c>
    </row>
    <row r="4271" spans="1:12" x14ac:dyDescent="0.25">
      <c r="A4271" t="s">
        <v>198</v>
      </c>
      <c r="B4271" t="s">
        <v>350</v>
      </c>
      <c r="C4271">
        <v>193</v>
      </c>
      <c r="D4271" t="s">
        <v>199</v>
      </c>
      <c r="E4271">
        <v>2632</v>
      </c>
      <c r="F4271" s="1">
        <v>1.0999999999999999E-2</v>
      </c>
      <c r="G4271" s="1">
        <v>0.62819999999999998</v>
      </c>
      <c r="I4271" s="1">
        <v>4.65E-2</v>
      </c>
      <c r="J4271" s="1">
        <v>0.15909999999999999</v>
      </c>
      <c r="L4271" s="1">
        <v>0.1963</v>
      </c>
    </row>
    <row r="4272" spans="1:12" x14ac:dyDescent="0.25">
      <c r="A4272" t="s">
        <v>198</v>
      </c>
      <c r="B4272" t="s">
        <v>350</v>
      </c>
      <c r="C4272">
        <v>78</v>
      </c>
      <c r="D4272" t="s">
        <v>200</v>
      </c>
      <c r="E4272">
        <v>2632</v>
      </c>
      <c r="G4272" s="1">
        <v>0.37559999999999999</v>
      </c>
      <c r="H4272" s="1">
        <v>2.2700000000000001E-2</v>
      </c>
      <c r="I4272" s="1">
        <v>5.33E-2</v>
      </c>
      <c r="J4272" s="1">
        <v>0.37019999999999997</v>
      </c>
      <c r="L4272" s="1">
        <v>0.34520000000000001</v>
      </c>
    </row>
    <row r="4273" spans="1:12" x14ac:dyDescent="0.25">
      <c r="A4273" t="s">
        <v>198</v>
      </c>
      <c r="B4273" t="s">
        <v>348</v>
      </c>
      <c r="C4273">
        <v>242</v>
      </c>
      <c r="D4273" t="s">
        <v>200</v>
      </c>
      <c r="E4273">
        <v>2632</v>
      </c>
      <c r="F4273" s="1">
        <v>5.3E-3</v>
      </c>
      <c r="G4273" s="1">
        <v>0.67430000000000001</v>
      </c>
      <c r="I4273" s="1">
        <v>5.5100000000000003E-2</v>
      </c>
      <c r="J4273" s="1">
        <v>0.19070000000000001</v>
      </c>
      <c r="L4273" s="1">
        <v>9.1499999999999998E-2</v>
      </c>
    </row>
    <row r="4274" spans="1:12" x14ac:dyDescent="0.25">
      <c r="A4274" t="s">
        <v>198</v>
      </c>
      <c r="B4274" t="s">
        <v>349</v>
      </c>
      <c r="C4274">
        <v>62</v>
      </c>
      <c r="D4274" t="s">
        <v>200</v>
      </c>
      <c r="E4274">
        <v>2632</v>
      </c>
      <c r="G4274" s="1">
        <v>0.33160000000000001</v>
      </c>
      <c r="I4274" s="1">
        <v>7.3700000000000002E-2</v>
      </c>
      <c r="J4274" s="1">
        <v>0.2883</v>
      </c>
      <c r="L4274" s="1">
        <v>0.42130000000000001</v>
      </c>
    </row>
    <row r="4275" spans="1:12" x14ac:dyDescent="0.25">
      <c r="A4275" t="s">
        <v>198</v>
      </c>
      <c r="B4275" t="s">
        <v>349</v>
      </c>
      <c r="C4275">
        <v>125</v>
      </c>
      <c r="D4275" t="s">
        <v>201</v>
      </c>
      <c r="E4275">
        <v>2632</v>
      </c>
      <c r="F4275" s="1">
        <v>2.3E-3</v>
      </c>
      <c r="G4275" s="1">
        <v>0.57030000000000003</v>
      </c>
      <c r="H4275" s="1">
        <v>1.8800000000000001E-2</v>
      </c>
      <c r="I4275" s="1">
        <v>8.5300000000000001E-2</v>
      </c>
      <c r="J4275" s="1">
        <v>0.27800000000000002</v>
      </c>
      <c r="K4275" s="1">
        <v>1.3599999999999999E-2</v>
      </c>
      <c r="L4275" s="1">
        <v>7.3300000000000004E-2</v>
      </c>
    </row>
    <row r="4276" spans="1:12" x14ac:dyDescent="0.25">
      <c r="A4276" t="s">
        <v>198</v>
      </c>
      <c r="B4276" t="s">
        <v>350</v>
      </c>
      <c r="C4276">
        <v>63</v>
      </c>
      <c r="D4276" t="s">
        <v>201</v>
      </c>
      <c r="E4276">
        <v>2632</v>
      </c>
      <c r="F4276" s="1">
        <v>5.5899999999999998E-2</v>
      </c>
      <c r="G4276" s="1">
        <v>0.31390000000000001</v>
      </c>
      <c r="I4276" s="1">
        <v>0.18740000000000001</v>
      </c>
      <c r="J4276" s="1">
        <v>0.3523</v>
      </c>
      <c r="L4276" s="1">
        <v>0.29049999999999998</v>
      </c>
    </row>
    <row r="4277" spans="1:12" x14ac:dyDescent="0.25">
      <c r="A4277" t="s">
        <v>198</v>
      </c>
      <c r="B4277" t="s">
        <v>348</v>
      </c>
      <c r="C4277">
        <v>62</v>
      </c>
      <c r="D4277" t="s">
        <v>201</v>
      </c>
      <c r="E4277">
        <v>2632</v>
      </c>
      <c r="F4277" s="1">
        <v>5.6099999999999997E-2</v>
      </c>
      <c r="G4277" s="1">
        <v>0.26769999999999999</v>
      </c>
      <c r="I4277" s="1">
        <v>0.12180000000000001</v>
      </c>
      <c r="J4277" s="1">
        <v>0.2913</v>
      </c>
      <c r="L4277" s="1">
        <v>0.3871</v>
      </c>
    </row>
    <row r="4278" spans="1:12" x14ac:dyDescent="0.25">
      <c r="A4278" t="s">
        <v>198</v>
      </c>
      <c r="B4278" t="s">
        <v>348</v>
      </c>
      <c r="C4278">
        <v>96</v>
      </c>
      <c r="D4278" t="s">
        <v>202</v>
      </c>
      <c r="E4278">
        <v>2632</v>
      </c>
      <c r="G4278" s="1">
        <v>0.49569999999999997</v>
      </c>
      <c r="I4278" s="1">
        <v>0.1341</v>
      </c>
      <c r="J4278" s="1">
        <v>0.38379999999999997</v>
      </c>
      <c r="K4278" s="1">
        <v>2.5000000000000001E-3</v>
      </c>
      <c r="L4278" s="1">
        <v>0.12889999999999999</v>
      </c>
    </row>
    <row r="4279" spans="1:12" x14ac:dyDescent="0.25">
      <c r="A4279" t="s">
        <v>203</v>
      </c>
      <c r="B4279" t="s">
        <v>349</v>
      </c>
      <c r="C4279">
        <v>171</v>
      </c>
      <c r="D4279" t="s">
        <v>199</v>
      </c>
      <c r="E4279">
        <v>2632</v>
      </c>
      <c r="F4279" s="1">
        <v>1.9800000000000002E-2</v>
      </c>
      <c r="G4279" s="1">
        <v>0.3866</v>
      </c>
      <c r="H4279" s="1">
        <v>4.3E-3</v>
      </c>
      <c r="I4279" s="1">
        <v>3.6700000000000003E-2</v>
      </c>
      <c r="J4279" s="1">
        <v>0.47170000000000001</v>
      </c>
      <c r="K4279" s="1">
        <v>2.3E-2</v>
      </c>
      <c r="L4279" s="1">
        <v>0.18410000000000001</v>
      </c>
    </row>
    <row r="4280" spans="1:12" x14ac:dyDescent="0.25">
      <c r="A4280" t="s">
        <v>203</v>
      </c>
      <c r="B4280" t="s">
        <v>348</v>
      </c>
      <c r="C4280">
        <v>42</v>
      </c>
      <c r="D4280" t="s">
        <v>199</v>
      </c>
      <c r="E4280">
        <v>2632</v>
      </c>
      <c r="F4280" s="1">
        <v>3.1800000000000002E-2</v>
      </c>
      <c r="G4280" s="1">
        <v>0.38080000000000003</v>
      </c>
      <c r="I4280" s="1">
        <v>0.19259999999999999</v>
      </c>
      <c r="J4280" s="1">
        <v>0.3211</v>
      </c>
      <c r="L4280" s="1">
        <v>0.12039999999999999</v>
      </c>
    </row>
    <row r="4281" spans="1:12" x14ac:dyDescent="0.25">
      <c r="A4281" t="s">
        <v>203</v>
      </c>
      <c r="B4281" t="s">
        <v>350</v>
      </c>
      <c r="C4281">
        <v>307</v>
      </c>
      <c r="D4281" t="s">
        <v>199</v>
      </c>
      <c r="E4281">
        <v>2632</v>
      </c>
      <c r="F4281" s="1">
        <v>8.3000000000000001E-3</v>
      </c>
      <c r="G4281" s="1">
        <v>0.72860000000000003</v>
      </c>
      <c r="I4281" s="1">
        <v>5.16E-2</v>
      </c>
      <c r="J4281" s="1">
        <v>0.1414</v>
      </c>
      <c r="K4281" s="1">
        <v>1E-3</v>
      </c>
      <c r="L4281" s="1">
        <v>0.11310000000000001</v>
      </c>
    </row>
    <row r="4282" spans="1:12" x14ac:dyDescent="0.25">
      <c r="A4282" t="s">
        <v>203</v>
      </c>
      <c r="B4282" t="s">
        <v>348</v>
      </c>
      <c r="C4282">
        <v>300</v>
      </c>
      <c r="D4282" t="s">
        <v>200</v>
      </c>
      <c r="E4282">
        <v>2632</v>
      </c>
      <c r="F4282" s="1">
        <v>4.1999999999999997E-3</v>
      </c>
      <c r="G4282" s="1">
        <v>0.72109999999999996</v>
      </c>
      <c r="I4282" s="1">
        <v>6.2199999999999998E-2</v>
      </c>
      <c r="J4282" s="1">
        <v>0.17979999999999999</v>
      </c>
      <c r="L4282" s="1">
        <v>9.1399999999999995E-2</v>
      </c>
    </row>
    <row r="4283" spans="1:12" x14ac:dyDescent="0.25">
      <c r="A4283" t="s">
        <v>203</v>
      </c>
      <c r="B4283" t="s">
        <v>349</v>
      </c>
      <c r="C4283">
        <v>108</v>
      </c>
      <c r="D4283" t="s">
        <v>200</v>
      </c>
      <c r="E4283">
        <v>2632</v>
      </c>
      <c r="G4283" s="1">
        <v>0.63029999999999997</v>
      </c>
      <c r="I4283" s="1">
        <v>2.1700000000000001E-2</v>
      </c>
      <c r="J4283" s="1">
        <v>0.27379999999999999</v>
      </c>
      <c r="L4283" s="1">
        <v>0.15290000000000001</v>
      </c>
    </row>
    <row r="4284" spans="1:12" x14ac:dyDescent="0.25">
      <c r="A4284" t="s">
        <v>203</v>
      </c>
      <c r="B4284" t="s">
        <v>350</v>
      </c>
      <c r="C4284">
        <v>94</v>
      </c>
      <c r="D4284" t="s">
        <v>200</v>
      </c>
      <c r="E4284">
        <v>2632</v>
      </c>
      <c r="G4284" s="1">
        <v>0.43319999999999997</v>
      </c>
      <c r="I4284" s="1">
        <v>4.8599999999999997E-2</v>
      </c>
      <c r="J4284" s="1">
        <v>0.4471</v>
      </c>
      <c r="L4284" s="1">
        <v>0.16309999999999999</v>
      </c>
    </row>
    <row r="4285" spans="1:12" x14ac:dyDescent="0.25">
      <c r="A4285" t="s">
        <v>203</v>
      </c>
      <c r="B4285" t="s">
        <v>348</v>
      </c>
      <c r="C4285">
        <v>62</v>
      </c>
      <c r="D4285" t="s">
        <v>201</v>
      </c>
      <c r="E4285">
        <v>2632</v>
      </c>
      <c r="F4285" s="1">
        <v>5.7700000000000001E-2</v>
      </c>
      <c r="G4285" s="1">
        <v>6.2E-2</v>
      </c>
      <c r="I4285" s="1">
        <v>0.2311</v>
      </c>
      <c r="J4285" s="1">
        <v>0.35799999999999998</v>
      </c>
      <c r="L4285" s="1">
        <v>0.53310000000000002</v>
      </c>
    </row>
    <row r="4286" spans="1:12" x14ac:dyDescent="0.25">
      <c r="A4286" t="s">
        <v>203</v>
      </c>
      <c r="B4286" t="s">
        <v>349</v>
      </c>
      <c r="C4286">
        <v>147</v>
      </c>
      <c r="D4286" t="s">
        <v>201</v>
      </c>
      <c r="E4286">
        <v>2632</v>
      </c>
      <c r="F4286" s="1">
        <v>8.8000000000000005E-3</v>
      </c>
      <c r="G4286" s="1">
        <v>0.45329999999999998</v>
      </c>
      <c r="I4286" s="1">
        <v>4.4900000000000002E-2</v>
      </c>
      <c r="J4286" s="1">
        <v>0.41060000000000002</v>
      </c>
      <c r="L4286" s="1">
        <v>0.1467</v>
      </c>
    </row>
    <row r="4287" spans="1:12" x14ac:dyDescent="0.25">
      <c r="A4287" t="s">
        <v>203</v>
      </c>
      <c r="B4287" t="s">
        <v>350</v>
      </c>
      <c r="C4287">
        <v>105</v>
      </c>
      <c r="D4287" t="s">
        <v>201</v>
      </c>
      <c r="E4287">
        <v>2632</v>
      </c>
      <c r="F4287" s="1">
        <v>5.5E-2</v>
      </c>
      <c r="G4287" s="1">
        <v>0.3085</v>
      </c>
      <c r="I4287" s="1">
        <v>0.13539999999999999</v>
      </c>
      <c r="J4287" s="1">
        <v>0.36270000000000002</v>
      </c>
      <c r="L4287" s="1">
        <v>0.31509999999999999</v>
      </c>
    </row>
    <row r="4288" spans="1:12" x14ac:dyDescent="0.25">
      <c r="A4288" t="s">
        <v>203</v>
      </c>
      <c r="B4288" t="s">
        <v>348</v>
      </c>
      <c r="C4288">
        <v>90</v>
      </c>
      <c r="D4288" t="s">
        <v>202</v>
      </c>
      <c r="E4288">
        <v>2632</v>
      </c>
      <c r="F4288" s="1">
        <v>1.0200000000000001E-2</v>
      </c>
      <c r="G4288" s="1">
        <v>0.55689999999999995</v>
      </c>
      <c r="I4288" s="1">
        <v>6.1199999999999997E-2</v>
      </c>
      <c r="J4288" s="1">
        <v>0.38129999999999997</v>
      </c>
      <c r="K4288" s="1">
        <v>4.8999999999999998E-3</v>
      </c>
      <c r="L4288" s="1">
        <v>0.114</v>
      </c>
    </row>
    <row r="4289" spans="1:12" x14ac:dyDescent="0.25">
      <c r="A4289" t="s">
        <v>204</v>
      </c>
      <c r="B4289" t="s">
        <v>204</v>
      </c>
      <c r="C4289">
        <v>2632</v>
      </c>
      <c r="D4289" t="s">
        <v>204</v>
      </c>
      <c r="E4289">
        <v>2632</v>
      </c>
      <c r="F4289" s="1">
        <v>6.7000000000000002E-3</v>
      </c>
      <c r="G4289" s="1">
        <v>0.58989999999999998</v>
      </c>
      <c r="H4289" s="1">
        <v>1.5E-3</v>
      </c>
      <c r="I4289" s="1">
        <v>6.5199999999999994E-2</v>
      </c>
      <c r="J4289" s="1">
        <v>0.26140000000000002</v>
      </c>
      <c r="K4289" s="1">
        <v>2.8E-3</v>
      </c>
      <c r="L4289" s="1">
        <v>0.14960000000000001</v>
      </c>
    </row>
    <row r="4291" spans="1:12" x14ac:dyDescent="0.25">
      <c r="A4291" t="s">
        <v>969</v>
      </c>
    </row>
    <row r="4292" spans="1:12" x14ac:dyDescent="0.25">
      <c r="A4292" t="s">
        <v>190</v>
      </c>
      <c r="B4292" t="s">
        <v>195</v>
      </c>
      <c r="C4292" t="s">
        <v>189</v>
      </c>
      <c r="D4292" t="s">
        <v>196</v>
      </c>
      <c r="E4292" t="s">
        <v>220</v>
      </c>
      <c r="F4292" t="s">
        <v>952</v>
      </c>
      <c r="G4292" t="s">
        <v>954</v>
      </c>
      <c r="H4292" t="s">
        <v>955</v>
      </c>
    </row>
    <row r="4293" spans="1:12" x14ac:dyDescent="0.25">
      <c r="A4293" t="s">
        <v>198</v>
      </c>
      <c r="B4293">
        <v>82</v>
      </c>
      <c r="C4293" t="s">
        <v>197</v>
      </c>
      <c r="D4293">
        <v>2632</v>
      </c>
      <c r="F4293" s="1">
        <v>2.5999999999999999E-2</v>
      </c>
      <c r="G4293" s="1">
        <v>0.11650000000000001</v>
      </c>
      <c r="H4293" s="1">
        <v>0.85740000000000005</v>
      </c>
    </row>
    <row r="4294" spans="1:12" x14ac:dyDescent="0.25">
      <c r="A4294" t="s">
        <v>198</v>
      </c>
      <c r="B4294">
        <v>368</v>
      </c>
      <c r="C4294" t="s">
        <v>199</v>
      </c>
      <c r="D4294">
        <v>2632</v>
      </c>
      <c r="F4294" s="1">
        <v>6.0000000000000001E-3</v>
      </c>
      <c r="G4294" s="1">
        <v>6.7299999999999999E-2</v>
      </c>
      <c r="H4294" s="1">
        <v>0.92669999999999997</v>
      </c>
    </row>
    <row r="4295" spans="1:12" x14ac:dyDescent="0.25">
      <c r="A4295" t="s">
        <v>198</v>
      </c>
      <c r="B4295">
        <v>387</v>
      </c>
      <c r="C4295" t="s">
        <v>200</v>
      </c>
      <c r="D4295">
        <v>2632</v>
      </c>
      <c r="E4295" s="1">
        <v>1E-4</v>
      </c>
      <c r="F4295" s="1">
        <v>1.15E-2</v>
      </c>
      <c r="G4295" s="1">
        <v>0.15529999999999999</v>
      </c>
      <c r="H4295" s="1">
        <v>0.83320000000000005</v>
      </c>
    </row>
    <row r="4296" spans="1:12" x14ac:dyDescent="0.25">
      <c r="A4296" t="s">
        <v>198</v>
      </c>
      <c r="B4296">
        <v>256</v>
      </c>
      <c r="C4296" t="s">
        <v>201</v>
      </c>
      <c r="D4296">
        <v>2632</v>
      </c>
      <c r="F4296" s="1">
        <v>1.06E-2</v>
      </c>
      <c r="G4296" s="1">
        <v>6.54E-2</v>
      </c>
      <c r="H4296" s="1">
        <v>0.92400000000000004</v>
      </c>
    </row>
    <row r="4297" spans="1:12" x14ac:dyDescent="0.25">
      <c r="A4297" t="s">
        <v>198</v>
      </c>
      <c r="B4297">
        <v>96</v>
      </c>
      <c r="C4297" t="s">
        <v>202</v>
      </c>
      <c r="D4297">
        <v>2632</v>
      </c>
      <c r="F4297" s="1">
        <v>4.8399999999999999E-2</v>
      </c>
      <c r="G4297" s="1">
        <v>0.1192</v>
      </c>
      <c r="H4297" s="1">
        <v>0.83250000000000002</v>
      </c>
    </row>
    <row r="4298" spans="1:12" x14ac:dyDescent="0.25">
      <c r="A4298" t="s">
        <v>203</v>
      </c>
      <c r="B4298">
        <v>529</v>
      </c>
      <c r="C4298" t="s">
        <v>199</v>
      </c>
      <c r="D4298">
        <v>2632</v>
      </c>
      <c r="F4298" s="1">
        <v>6.3E-3</v>
      </c>
      <c r="G4298" s="1">
        <v>2.3699999999999999E-2</v>
      </c>
      <c r="H4298" s="1">
        <v>0.97</v>
      </c>
    </row>
    <row r="4299" spans="1:12" x14ac:dyDescent="0.25">
      <c r="A4299" t="s">
        <v>203</v>
      </c>
      <c r="B4299">
        <v>503</v>
      </c>
      <c r="C4299" t="s">
        <v>200</v>
      </c>
      <c r="D4299">
        <v>2632</v>
      </c>
      <c r="F4299" s="1">
        <v>2.7000000000000001E-3</v>
      </c>
      <c r="G4299" s="1">
        <v>0.183</v>
      </c>
      <c r="H4299" s="1">
        <v>0.81430000000000002</v>
      </c>
    </row>
    <row r="4300" spans="1:12" x14ac:dyDescent="0.25">
      <c r="A4300" t="s">
        <v>203</v>
      </c>
      <c r="B4300">
        <v>321</v>
      </c>
      <c r="C4300" t="s">
        <v>201</v>
      </c>
      <c r="D4300">
        <v>2632</v>
      </c>
      <c r="F4300" s="1">
        <v>3.3999999999999998E-3</v>
      </c>
      <c r="G4300" s="1">
        <v>2.52E-2</v>
      </c>
      <c r="H4300" s="1">
        <v>0.97140000000000004</v>
      </c>
    </row>
    <row r="4301" spans="1:12" x14ac:dyDescent="0.25">
      <c r="A4301" t="s">
        <v>203</v>
      </c>
      <c r="B4301">
        <v>90</v>
      </c>
      <c r="C4301" t="s">
        <v>202</v>
      </c>
      <c r="D4301">
        <v>2632</v>
      </c>
      <c r="G4301" s="1">
        <v>5.11E-2</v>
      </c>
      <c r="H4301" s="1">
        <v>0.94889999999999997</v>
      </c>
    </row>
    <row r="4302" spans="1:12" x14ac:dyDescent="0.25">
      <c r="A4302" t="s">
        <v>204</v>
      </c>
      <c r="B4302">
        <v>2632</v>
      </c>
      <c r="C4302" t="s">
        <v>204</v>
      </c>
      <c r="D4302">
        <v>2632</v>
      </c>
      <c r="E4302" s="1">
        <v>0</v>
      </c>
      <c r="F4302" s="1">
        <v>1.0800000000000001E-2</v>
      </c>
      <c r="G4302" s="1">
        <v>0.11310000000000001</v>
      </c>
      <c r="H4302" s="1">
        <v>0.87609999999999999</v>
      </c>
    </row>
    <row r="4304" spans="1:12" x14ac:dyDescent="0.25">
      <c r="A4304" t="s">
        <v>970</v>
      </c>
    </row>
    <row r="4305" spans="1:9" x14ac:dyDescent="0.25">
      <c r="A4305" t="s">
        <v>190</v>
      </c>
      <c r="B4305" t="s">
        <v>206</v>
      </c>
      <c r="C4305" t="s">
        <v>195</v>
      </c>
      <c r="D4305" t="s">
        <v>189</v>
      </c>
      <c r="E4305" t="s">
        <v>196</v>
      </c>
      <c r="F4305" t="s">
        <v>220</v>
      </c>
      <c r="G4305" t="s">
        <v>952</v>
      </c>
      <c r="H4305" t="s">
        <v>954</v>
      </c>
      <c r="I4305" t="s">
        <v>955</v>
      </c>
    </row>
    <row r="4306" spans="1:9" x14ac:dyDescent="0.25">
      <c r="A4306" t="s">
        <v>198</v>
      </c>
      <c r="B4306" t="s">
        <v>228</v>
      </c>
      <c r="C4306">
        <v>33</v>
      </c>
      <c r="D4306" t="s">
        <v>197</v>
      </c>
      <c r="E4306">
        <v>2632</v>
      </c>
      <c r="G4306" s="1">
        <v>4.2900000000000001E-2</v>
      </c>
      <c r="H4306" s="1">
        <v>0.1003</v>
      </c>
      <c r="I4306" s="1">
        <v>0.8569</v>
      </c>
    </row>
    <row r="4307" spans="1:9" x14ac:dyDescent="0.25">
      <c r="A4307" t="s">
        <v>198</v>
      </c>
      <c r="B4307" t="s">
        <v>229</v>
      </c>
      <c r="C4307">
        <v>49</v>
      </c>
      <c r="D4307" t="s">
        <v>197</v>
      </c>
      <c r="E4307">
        <v>2632</v>
      </c>
      <c r="G4307" s="1">
        <v>1.32E-2</v>
      </c>
      <c r="H4307" s="1">
        <v>0.12889999999999999</v>
      </c>
      <c r="I4307" s="1">
        <v>0.8579</v>
      </c>
    </row>
    <row r="4308" spans="1:9" x14ac:dyDescent="0.25">
      <c r="A4308" t="s">
        <v>198</v>
      </c>
      <c r="B4308" t="s">
        <v>228</v>
      </c>
      <c r="C4308">
        <v>145</v>
      </c>
      <c r="D4308" t="s">
        <v>199</v>
      </c>
      <c r="E4308">
        <v>2632</v>
      </c>
      <c r="G4308" s="1">
        <v>1.5599999999999999E-2</v>
      </c>
      <c r="H4308" s="1">
        <v>0.105</v>
      </c>
      <c r="I4308" s="1">
        <v>0.87939999999999996</v>
      </c>
    </row>
    <row r="4309" spans="1:9" x14ac:dyDescent="0.25">
      <c r="A4309" t="s">
        <v>198</v>
      </c>
      <c r="B4309" t="s">
        <v>229</v>
      </c>
      <c r="C4309">
        <v>213</v>
      </c>
      <c r="D4309" t="s">
        <v>199</v>
      </c>
      <c r="E4309">
        <v>2632</v>
      </c>
      <c r="G4309" s="1">
        <v>2.7000000000000001E-3</v>
      </c>
      <c r="H4309" s="1">
        <v>5.3699999999999998E-2</v>
      </c>
      <c r="I4309" s="1">
        <v>0.94359999999999999</v>
      </c>
    </row>
    <row r="4310" spans="1:9" x14ac:dyDescent="0.25">
      <c r="A4310" t="s">
        <v>198</v>
      </c>
      <c r="B4310" t="s">
        <v>229</v>
      </c>
      <c r="C4310">
        <v>270</v>
      </c>
      <c r="D4310" t="s">
        <v>200</v>
      </c>
      <c r="E4310">
        <v>2632</v>
      </c>
      <c r="F4310" s="1">
        <v>1E-4</v>
      </c>
      <c r="G4310" s="1">
        <v>1.4999999999999999E-2</v>
      </c>
      <c r="H4310" s="1">
        <v>0.1633</v>
      </c>
      <c r="I4310" s="1">
        <v>0.82150000000000001</v>
      </c>
    </row>
    <row r="4311" spans="1:9" x14ac:dyDescent="0.25">
      <c r="A4311" t="s">
        <v>198</v>
      </c>
      <c r="B4311" t="s">
        <v>228</v>
      </c>
      <c r="C4311">
        <v>112</v>
      </c>
      <c r="D4311" t="s">
        <v>200</v>
      </c>
      <c r="E4311">
        <v>2632</v>
      </c>
      <c r="H4311" s="1">
        <v>0.13320000000000001</v>
      </c>
      <c r="I4311" s="1">
        <v>0.86680000000000001</v>
      </c>
    </row>
    <row r="4312" spans="1:9" x14ac:dyDescent="0.25">
      <c r="A4312" t="s">
        <v>198</v>
      </c>
      <c r="B4312" t="s">
        <v>228</v>
      </c>
      <c r="C4312">
        <v>95</v>
      </c>
      <c r="D4312" t="s">
        <v>201</v>
      </c>
      <c r="E4312">
        <v>2632</v>
      </c>
      <c r="G4312" s="1">
        <v>5.7999999999999996E-3</v>
      </c>
      <c r="H4312" s="1">
        <v>2.3800000000000002E-2</v>
      </c>
      <c r="I4312" s="1">
        <v>0.97030000000000005</v>
      </c>
    </row>
    <row r="4313" spans="1:9" x14ac:dyDescent="0.25">
      <c r="A4313" t="s">
        <v>198</v>
      </c>
      <c r="B4313" t="s">
        <v>229</v>
      </c>
      <c r="C4313">
        <v>155</v>
      </c>
      <c r="D4313" t="s">
        <v>201</v>
      </c>
      <c r="E4313">
        <v>2632</v>
      </c>
      <c r="G4313" s="1">
        <v>1.2E-2</v>
      </c>
      <c r="H4313" s="1">
        <v>7.7299999999999994E-2</v>
      </c>
      <c r="I4313" s="1">
        <v>0.91069999999999995</v>
      </c>
    </row>
    <row r="4314" spans="1:9" s="29" customFormat="1" x14ac:dyDescent="0.25">
      <c r="A4314" s="29" t="s">
        <v>198</v>
      </c>
      <c r="B4314" s="29" t="s">
        <v>228</v>
      </c>
      <c r="C4314" s="29">
        <v>28</v>
      </c>
      <c r="D4314" s="29" t="s">
        <v>202</v>
      </c>
      <c r="E4314" s="29">
        <v>2632</v>
      </c>
      <c r="H4314" s="30">
        <v>0.1915</v>
      </c>
      <c r="I4314" s="30">
        <v>0.8085</v>
      </c>
    </row>
    <row r="4315" spans="1:9" x14ac:dyDescent="0.25">
      <c r="A4315" t="s">
        <v>198</v>
      </c>
      <c r="B4315" t="s">
        <v>229</v>
      </c>
      <c r="C4315">
        <v>68</v>
      </c>
      <c r="D4315" t="s">
        <v>202</v>
      </c>
      <c r="E4315">
        <v>2632</v>
      </c>
      <c r="G4315" s="1">
        <v>6.3299999999999995E-2</v>
      </c>
      <c r="H4315" s="1">
        <v>9.6799999999999997E-2</v>
      </c>
      <c r="I4315" s="1">
        <v>0.83989999999999998</v>
      </c>
    </row>
    <row r="4316" spans="1:9" x14ac:dyDescent="0.25">
      <c r="A4316" t="s">
        <v>203</v>
      </c>
      <c r="B4316" t="s">
        <v>229</v>
      </c>
      <c r="C4316">
        <v>369</v>
      </c>
      <c r="D4316" t="s">
        <v>199</v>
      </c>
      <c r="E4316">
        <v>2632</v>
      </c>
      <c r="G4316" s="1">
        <v>5.9999999999999995E-4</v>
      </c>
      <c r="H4316" s="1">
        <v>1.29E-2</v>
      </c>
      <c r="I4316" s="1">
        <v>0.98650000000000004</v>
      </c>
    </row>
    <row r="4317" spans="1:9" x14ac:dyDescent="0.25">
      <c r="A4317" t="s">
        <v>203</v>
      </c>
      <c r="B4317" t="s">
        <v>228</v>
      </c>
      <c r="C4317">
        <v>150</v>
      </c>
      <c r="D4317" t="s">
        <v>199</v>
      </c>
      <c r="E4317">
        <v>2632</v>
      </c>
      <c r="G4317" s="1">
        <v>5.4199999999999998E-2</v>
      </c>
      <c r="H4317" s="1">
        <v>0.1168</v>
      </c>
      <c r="I4317" s="1">
        <v>0.82899999999999996</v>
      </c>
    </row>
    <row r="4318" spans="1:9" x14ac:dyDescent="0.25">
      <c r="A4318" t="s">
        <v>203</v>
      </c>
      <c r="B4318" t="s">
        <v>229</v>
      </c>
      <c r="C4318">
        <v>347</v>
      </c>
      <c r="D4318" t="s">
        <v>200</v>
      </c>
      <c r="E4318">
        <v>2632</v>
      </c>
      <c r="G4318" s="1">
        <v>3.3E-3</v>
      </c>
      <c r="H4318" s="1">
        <v>0.17499999999999999</v>
      </c>
      <c r="I4318" s="1">
        <v>0.82169999999999999</v>
      </c>
    </row>
    <row r="4319" spans="1:9" x14ac:dyDescent="0.25">
      <c r="A4319" t="s">
        <v>203</v>
      </c>
      <c r="B4319" t="s">
        <v>228</v>
      </c>
      <c r="C4319">
        <v>155</v>
      </c>
      <c r="D4319" t="s">
        <v>200</v>
      </c>
      <c r="E4319">
        <v>2632</v>
      </c>
      <c r="H4319" s="1">
        <v>0.21659999999999999</v>
      </c>
      <c r="I4319" s="1">
        <v>0.78339999999999999</v>
      </c>
    </row>
    <row r="4320" spans="1:9" x14ac:dyDescent="0.25">
      <c r="A4320" t="s">
        <v>203</v>
      </c>
      <c r="B4320" t="s">
        <v>229</v>
      </c>
      <c r="C4320">
        <v>137</v>
      </c>
      <c r="D4320" t="s">
        <v>201</v>
      </c>
      <c r="E4320">
        <v>2632</v>
      </c>
      <c r="G4320" s="1">
        <v>1.5E-3</v>
      </c>
      <c r="H4320" s="1">
        <v>2.1399999999999999E-2</v>
      </c>
      <c r="I4320" s="1">
        <v>0.97709999999999997</v>
      </c>
    </row>
    <row r="4321" spans="1:9" x14ac:dyDescent="0.25">
      <c r="A4321" t="s">
        <v>203</v>
      </c>
      <c r="B4321" t="s">
        <v>228</v>
      </c>
      <c r="C4321">
        <v>177</v>
      </c>
      <c r="D4321" t="s">
        <v>201</v>
      </c>
      <c r="E4321">
        <v>2632</v>
      </c>
      <c r="G4321" s="1">
        <v>9.4999999999999998E-3</v>
      </c>
      <c r="H4321" s="1">
        <v>3.7600000000000001E-2</v>
      </c>
      <c r="I4321" s="1">
        <v>0.95289999999999997</v>
      </c>
    </row>
    <row r="4322" spans="1:9" x14ac:dyDescent="0.25">
      <c r="A4322" t="s">
        <v>203</v>
      </c>
      <c r="B4322" t="s">
        <v>228</v>
      </c>
      <c r="C4322">
        <v>34</v>
      </c>
      <c r="D4322" t="s">
        <v>202</v>
      </c>
      <c r="E4322">
        <v>2632</v>
      </c>
      <c r="H4322" s="1">
        <v>3.4099999999999998E-2</v>
      </c>
      <c r="I4322" s="1">
        <v>0.96589999999999998</v>
      </c>
    </row>
    <row r="4323" spans="1:9" x14ac:dyDescent="0.25">
      <c r="A4323" t="s">
        <v>203</v>
      </c>
      <c r="B4323" t="s">
        <v>229</v>
      </c>
      <c r="C4323">
        <v>56</v>
      </c>
      <c r="D4323" t="s">
        <v>202</v>
      </c>
      <c r="E4323">
        <v>2632</v>
      </c>
      <c r="H4323" s="1">
        <v>5.79E-2</v>
      </c>
      <c r="I4323" s="1">
        <v>0.94210000000000005</v>
      </c>
    </row>
    <row r="4324" spans="1:9" x14ac:dyDescent="0.25">
      <c r="A4324" t="s">
        <v>204</v>
      </c>
      <c r="B4324" t="s">
        <v>204</v>
      </c>
      <c r="C4324">
        <v>2632</v>
      </c>
      <c r="D4324" t="s">
        <v>204</v>
      </c>
      <c r="E4324">
        <v>2632</v>
      </c>
      <c r="F4324" s="1">
        <v>0</v>
      </c>
      <c r="G4324" s="1">
        <v>1.0800000000000001E-2</v>
      </c>
      <c r="H4324" s="1">
        <v>0.11310000000000001</v>
      </c>
      <c r="I4324" s="1">
        <v>0.87609999999999999</v>
      </c>
    </row>
    <row r="4326" spans="1:9" x14ac:dyDescent="0.25">
      <c r="A4326" t="s">
        <v>971</v>
      </c>
    </row>
    <row r="4327" spans="1:9" x14ac:dyDescent="0.25">
      <c r="A4327" t="s">
        <v>190</v>
      </c>
      <c r="B4327" t="s">
        <v>206</v>
      </c>
      <c r="C4327" t="s">
        <v>195</v>
      </c>
      <c r="D4327" t="s">
        <v>189</v>
      </c>
      <c r="E4327" t="s">
        <v>196</v>
      </c>
      <c r="F4327" t="s">
        <v>220</v>
      </c>
      <c r="G4327" t="s">
        <v>952</v>
      </c>
      <c r="H4327" t="s">
        <v>954</v>
      </c>
      <c r="I4327" t="s">
        <v>955</v>
      </c>
    </row>
    <row r="4328" spans="1:9" x14ac:dyDescent="0.25">
      <c r="A4328" t="s">
        <v>198</v>
      </c>
      <c r="B4328" t="s">
        <v>348</v>
      </c>
      <c r="C4328">
        <v>79</v>
      </c>
      <c r="D4328" t="s">
        <v>197</v>
      </c>
      <c r="E4328">
        <v>2632</v>
      </c>
      <c r="G4328" s="1">
        <v>2.69E-2</v>
      </c>
      <c r="H4328" s="1">
        <v>9.7699999999999995E-2</v>
      </c>
      <c r="I4328" s="1">
        <v>0.87539999999999996</v>
      </c>
    </row>
    <row r="4329" spans="1:9" s="29" customFormat="1" x14ac:dyDescent="0.25">
      <c r="A4329" s="29" t="s">
        <v>198</v>
      </c>
      <c r="B4329" s="29" t="s">
        <v>349</v>
      </c>
      <c r="C4329" s="29">
        <v>3</v>
      </c>
      <c r="D4329" s="29" t="s">
        <v>197</v>
      </c>
      <c r="E4329" s="29">
        <v>2632</v>
      </c>
      <c r="H4329" s="30">
        <v>0.66669999999999996</v>
      </c>
      <c r="I4329" s="30">
        <v>0.33329999999999999</v>
      </c>
    </row>
    <row r="4330" spans="1:9" x14ac:dyDescent="0.25">
      <c r="A4330" t="s">
        <v>198</v>
      </c>
      <c r="B4330" t="s">
        <v>348</v>
      </c>
      <c r="C4330">
        <v>54</v>
      </c>
      <c r="D4330" t="s">
        <v>199</v>
      </c>
      <c r="E4330">
        <v>2632</v>
      </c>
      <c r="H4330" s="1">
        <v>2.3E-2</v>
      </c>
      <c r="I4330" s="1">
        <v>0.97699999999999998</v>
      </c>
    </row>
    <row r="4331" spans="1:9" x14ac:dyDescent="0.25">
      <c r="A4331" t="s">
        <v>198</v>
      </c>
      <c r="B4331" t="s">
        <v>349</v>
      </c>
      <c r="C4331">
        <v>111</v>
      </c>
      <c r="D4331" t="s">
        <v>199</v>
      </c>
      <c r="E4331">
        <v>2632</v>
      </c>
      <c r="G4331" s="1">
        <v>8.8999999999999999E-3</v>
      </c>
      <c r="H4331" s="1">
        <v>4.3299999999999998E-2</v>
      </c>
      <c r="I4331" s="1">
        <v>0.94779999999999998</v>
      </c>
    </row>
    <row r="4332" spans="1:9" x14ac:dyDescent="0.25">
      <c r="A4332" t="s">
        <v>198</v>
      </c>
      <c r="B4332" t="s">
        <v>350</v>
      </c>
      <c r="C4332">
        <v>193</v>
      </c>
      <c r="D4332" t="s">
        <v>199</v>
      </c>
      <c r="E4332">
        <v>2632</v>
      </c>
      <c r="G4332" s="1">
        <v>4.8999999999999998E-3</v>
      </c>
      <c r="H4332" s="1">
        <v>0.1082</v>
      </c>
      <c r="I4332" s="1">
        <v>0.88690000000000002</v>
      </c>
    </row>
    <row r="4333" spans="1:9" x14ac:dyDescent="0.25">
      <c r="A4333" t="s">
        <v>198</v>
      </c>
      <c r="B4333" t="s">
        <v>350</v>
      </c>
      <c r="C4333">
        <v>78</v>
      </c>
      <c r="D4333" t="s">
        <v>200</v>
      </c>
      <c r="E4333">
        <v>2632</v>
      </c>
      <c r="F4333" s="1">
        <v>1.4E-3</v>
      </c>
      <c r="G4333" s="1">
        <v>8.8999999999999999E-3</v>
      </c>
      <c r="H4333" s="1">
        <v>8.8200000000000001E-2</v>
      </c>
      <c r="I4333" s="1">
        <v>0.90159999999999996</v>
      </c>
    </row>
    <row r="4334" spans="1:9" x14ac:dyDescent="0.25">
      <c r="A4334" t="s">
        <v>198</v>
      </c>
      <c r="B4334" t="s">
        <v>348</v>
      </c>
      <c r="C4334">
        <v>242</v>
      </c>
      <c r="D4334" t="s">
        <v>200</v>
      </c>
      <c r="E4334">
        <v>2632</v>
      </c>
      <c r="G4334" s="1">
        <v>1.2500000000000001E-2</v>
      </c>
      <c r="H4334" s="1">
        <v>0.16589999999999999</v>
      </c>
      <c r="I4334" s="1">
        <v>0.82150000000000001</v>
      </c>
    </row>
    <row r="4335" spans="1:9" x14ac:dyDescent="0.25">
      <c r="A4335" t="s">
        <v>198</v>
      </c>
      <c r="B4335" t="s">
        <v>349</v>
      </c>
      <c r="C4335">
        <v>62</v>
      </c>
      <c r="D4335" t="s">
        <v>200</v>
      </c>
      <c r="E4335">
        <v>2632</v>
      </c>
      <c r="H4335" s="1">
        <v>9.5200000000000007E-2</v>
      </c>
      <c r="I4335" s="1">
        <v>0.90480000000000005</v>
      </c>
    </row>
    <row r="4336" spans="1:9" x14ac:dyDescent="0.25">
      <c r="A4336" t="s">
        <v>198</v>
      </c>
      <c r="B4336" t="s">
        <v>349</v>
      </c>
      <c r="C4336">
        <v>125</v>
      </c>
      <c r="D4336" t="s">
        <v>201</v>
      </c>
      <c r="E4336">
        <v>2632</v>
      </c>
      <c r="G4336" s="1">
        <v>1.54E-2</v>
      </c>
      <c r="H4336" s="1">
        <v>7.22E-2</v>
      </c>
      <c r="I4336" s="1">
        <v>0.91239999999999999</v>
      </c>
    </row>
    <row r="4337" spans="1:9" x14ac:dyDescent="0.25">
      <c r="A4337" t="s">
        <v>198</v>
      </c>
      <c r="B4337" t="s">
        <v>350</v>
      </c>
      <c r="C4337">
        <v>63</v>
      </c>
      <c r="D4337" t="s">
        <v>201</v>
      </c>
      <c r="E4337">
        <v>2632</v>
      </c>
      <c r="H4337" s="1">
        <v>7.0599999999999996E-2</v>
      </c>
      <c r="I4337" s="1">
        <v>0.9294</v>
      </c>
    </row>
    <row r="4338" spans="1:9" x14ac:dyDescent="0.25">
      <c r="A4338" t="s">
        <v>198</v>
      </c>
      <c r="B4338" t="s">
        <v>348</v>
      </c>
      <c r="C4338">
        <v>62</v>
      </c>
      <c r="D4338" t="s">
        <v>201</v>
      </c>
      <c r="E4338">
        <v>2632</v>
      </c>
      <c r="H4338" s="1">
        <v>4.8000000000000001E-2</v>
      </c>
      <c r="I4338" s="1">
        <v>0.95199999999999996</v>
      </c>
    </row>
    <row r="4339" spans="1:9" x14ac:dyDescent="0.25">
      <c r="A4339" t="s">
        <v>198</v>
      </c>
      <c r="B4339" t="s">
        <v>348</v>
      </c>
      <c r="C4339">
        <v>96</v>
      </c>
      <c r="D4339" t="s">
        <v>202</v>
      </c>
      <c r="E4339">
        <v>2632</v>
      </c>
      <c r="G4339" s="1">
        <v>4.8399999999999999E-2</v>
      </c>
      <c r="H4339" s="1">
        <v>0.1192</v>
      </c>
      <c r="I4339" s="1">
        <v>0.83250000000000002</v>
      </c>
    </row>
    <row r="4340" spans="1:9" x14ac:dyDescent="0.25">
      <c r="A4340" t="s">
        <v>203</v>
      </c>
      <c r="B4340" t="s">
        <v>349</v>
      </c>
      <c r="C4340">
        <v>171</v>
      </c>
      <c r="D4340" t="s">
        <v>199</v>
      </c>
      <c r="E4340">
        <v>2632</v>
      </c>
      <c r="G4340" s="1">
        <v>1.5800000000000002E-2</v>
      </c>
      <c r="H4340" s="1">
        <v>1.54E-2</v>
      </c>
      <c r="I4340" s="1">
        <v>0.96870000000000001</v>
      </c>
    </row>
    <row r="4341" spans="1:9" x14ac:dyDescent="0.25">
      <c r="A4341" t="s">
        <v>203</v>
      </c>
      <c r="B4341" t="s">
        <v>348</v>
      </c>
      <c r="C4341">
        <v>42</v>
      </c>
      <c r="D4341" t="s">
        <v>199</v>
      </c>
      <c r="E4341">
        <v>2632</v>
      </c>
      <c r="I4341" s="1">
        <v>1</v>
      </c>
    </row>
    <row r="4342" spans="1:9" x14ac:dyDescent="0.25">
      <c r="A4342" t="s">
        <v>203</v>
      </c>
      <c r="B4342" t="s">
        <v>350</v>
      </c>
      <c r="C4342">
        <v>306</v>
      </c>
      <c r="D4342" t="s">
        <v>199</v>
      </c>
      <c r="E4342">
        <v>2632</v>
      </c>
      <c r="G4342" s="1">
        <v>1.8E-3</v>
      </c>
      <c r="H4342" s="1">
        <v>2.9700000000000001E-2</v>
      </c>
      <c r="I4342" s="1">
        <v>0.96850000000000003</v>
      </c>
    </row>
    <row r="4343" spans="1:9" x14ac:dyDescent="0.25">
      <c r="A4343" t="s">
        <v>203</v>
      </c>
      <c r="B4343" t="s">
        <v>348</v>
      </c>
      <c r="C4343">
        <v>300</v>
      </c>
      <c r="D4343" t="s">
        <v>200</v>
      </c>
      <c r="E4343">
        <v>2632</v>
      </c>
      <c r="G4343" s="1">
        <v>2.8E-3</v>
      </c>
      <c r="H4343" s="1">
        <v>0.2006</v>
      </c>
      <c r="I4343" s="1">
        <v>0.79649999999999999</v>
      </c>
    </row>
    <row r="4344" spans="1:9" x14ac:dyDescent="0.25">
      <c r="A4344" t="s">
        <v>203</v>
      </c>
      <c r="B4344" t="s">
        <v>349</v>
      </c>
      <c r="C4344">
        <v>108</v>
      </c>
      <c r="D4344" t="s">
        <v>200</v>
      </c>
      <c r="E4344">
        <v>2632</v>
      </c>
      <c r="G4344" s="1">
        <v>2.2000000000000001E-3</v>
      </c>
      <c r="H4344" s="1">
        <v>2.3199999999999998E-2</v>
      </c>
      <c r="I4344" s="1">
        <v>0.97460000000000002</v>
      </c>
    </row>
    <row r="4345" spans="1:9" x14ac:dyDescent="0.25">
      <c r="A4345" t="s">
        <v>203</v>
      </c>
      <c r="B4345" t="s">
        <v>350</v>
      </c>
      <c r="C4345">
        <v>94</v>
      </c>
      <c r="D4345" t="s">
        <v>200</v>
      </c>
      <c r="E4345">
        <v>2632</v>
      </c>
      <c r="H4345" s="1">
        <v>9.9699999999999997E-2</v>
      </c>
      <c r="I4345" s="1">
        <v>0.90029999999999999</v>
      </c>
    </row>
    <row r="4346" spans="1:9" x14ac:dyDescent="0.25">
      <c r="A4346" t="s">
        <v>203</v>
      </c>
      <c r="B4346" t="s">
        <v>348</v>
      </c>
      <c r="C4346">
        <v>62</v>
      </c>
      <c r="D4346" t="s">
        <v>201</v>
      </c>
      <c r="E4346">
        <v>2632</v>
      </c>
      <c r="H4346" s="1">
        <v>0.17610000000000001</v>
      </c>
      <c r="I4346" s="1">
        <v>0.82389999999999997</v>
      </c>
    </row>
    <row r="4347" spans="1:9" x14ac:dyDescent="0.25">
      <c r="A4347" t="s">
        <v>203</v>
      </c>
      <c r="B4347" t="s">
        <v>349</v>
      </c>
      <c r="C4347">
        <v>147</v>
      </c>
      <c r="D4347" t="s">
        <v>201</v>
      </c>
      <c r="E4347">
        <v>2632</v>
      </c>
      <c r="G4347" s="1">
        <v>2.8E-3</v>
      </c>
      <c r="H4347" s="1">
        <v>2.0000000000000001E-4</v>
      </c>
      <c r="I4347" s="1">
        <v>0.997</v>
      </c>
    </row>
    <row r="4348" spans="1:9" x14ac:dyDescent="0.25">
      <c r="A4348" t="s">
        <v>203</v>
      </c>
      <c r="B4348" t="s">
        <v>350</v>
      </c>
      <c r="C4348">
        <v>105</v>
      </c>
      <c r="D4348" t="s">
        <v>201</v>
      </c>
      <c r="E4348">
        <v>2632</v>
      </c>
      <c r="G4348" s="1">
        <v>1.6199999999999999E-2</v>
      </c>
      <c r="H4348" s="1">
        <v>7.8700000000000006E-2</v>
      </c>
      <c r="I4348" s="1">
        <v>0.90510000000000002</v>
      </c>
    </row>
    <row r="4349" spans="1:9" x14ac:dyDescent="0.25">
      <c r="A4349" t="s">
        <v>203</v>
      </c>
      <c r="B4349" t="s">
        <v>348</v>
      </c>
      <c r="C4349">
        <v>90</v>
      </c>
      <c r="D4349" t="s">
        <v>202</v>
      </c>
      <c r="E4349">
        <v>2632</v>
      </c>
      <c r="H4349" s="1">
        <v>5.11E-2</v>
      </c>
      <c r="I4349" s="1">
        <v>0.94889999999999997</v>
      </c>
    </row>
    <row r="4350" spans="1:9" x14ac:dyDescent="0.25">
      <c r="A4350" t="s">
        <v>204</v>
      </c>
      <c r="B4350" t="s">
        <v>204</v>
      </c>
      <c r="C4350">
        <v>2632</v>
      </c>
      <c r="D4350" t="s">
        <v>204</v>
      </c>
      <c r="E4350">
        <v>2632</v>
      </c>
      <c r="F4350" s="1">
        <v>0</v>
      </c>
      <c r="G4350" s="1">
        <v>1.0800000000000001E-2</v>
      </c>
      <c r="H4350" s="1">
        <v>0.11310000000000001</v>
      </c>
      <c r="I4350" s="1">
        <v>0.87609999999999999</v>
      </c>
    </row>
    <row r="4352" spans="1:9" x14ac:dyDescent="0.25">
      <c r="A4352" t="s">
        <v>972</v>
      </c>
    </row>
    <row r="4353" spans="1:11" x14ac:dyDescent="0.25">
      <c r="A4353" t="s">
        <v>190</v>
      </c>
      <c r="B4353" t="s">
        <v>195</v>
      </c>
      <c r="C4353" t="s">
        <v>189</v>
      </c>
      <c r="D4353" t="s">
        <v>196</v>
      </c>
      <c r="E4353" t="s">
        <v>220</v>
      </c>
      <c r="F4353" t="s">
        <v>973</v>
      </c>
      <c r="G4353" t="s">
        <v>974</v>
      </c>
      <c r="H4353" t="s">
        <v>975</v>
      </c>
      <c r="I4353" t="s">
        <v>976</v>
      </c>
      <c r="J4353" t="s">
        <v>235</v>
      </c>
    </row>
    <row r="4354" spans="1:11" x14ac:dyDescent="0.25">
      <c r="A4354" t="s">
        <v>198</v>
      </c>
      <c r="B4354">
        <v>82</v>
      </c>
      <c r="C4354" t="s">
        <v>197</v>
      </c>
      <c r="D4354">
        <v>2631</v>
      </c>
      <c r="G4354" s="1">
        <v>0.79559999999999997</v>
      </c>
      <c r="H4354" s="1">
        <v>5.6599999999999998E-2</v>
      </c>
      <c r="I4354" s="1">
        <v>0.14779999999999999</v>
      </c>
    </row>
    <row r="4355" spans="1:11" x14ac:dyDescent="0.25">
      <c r="A4355" t="s">
        <v>198</v>
      </c>
      <c r="B4355">
        <v>368</v>
      </c>
      <c r="C4355" t="s">
        <v>199</v>
      </c>
      <c r="D4355">
        <v>2631</v>
      </c>
      <c r="F4355" s="1">
        <v>1.9699999999999999E-2</v>
      </c>
      <c r="G4355" s="1">
        <v>0.79049999999999998</v>
      </c>
      <c r="H4355" s="1">
        <v>2.5999999999999999E-3</v>
      </c>
      <c r="I4355" s="1">
        <v>0.18720000000000001</v>
      </c>
    </row>
    <row r="4356" spans="1:11" x14ac:dyDescent="0.25">
      <c r="A4356" t="s">
        <v>198</v>
      </c>
      <c r="B4356">
        <v>386</v>
      </c>
      <c r="C4356" t="s">
        <v>200</v>
      </c>
      <c r="D4356">
        <v>2631</v>
      </c>
      <c r="F4356" s="1">
        <v>2.3E-3</v>
      </c>
      <c r="G4356" s="1">
        <v>0.75680000000000003</v>
      </c>
      <c r="H4356" s="1">
        <v>2.9899999999999999E-2</v>
      </c>
      <c r="I4356" s="1">
        <v>0.21079999999999999</v>
      </c>
      <c r="J4356" s="1">
        <v>2.0000000000000001E-4</v>
      </c>
    </row>
    <row r="4357" spans="1:11" x14ac:dyDescent="0.25">
      <c r="A4357" t="s">
        <v>198</v>
      </c>
      <c r="B4357">
        <v>256</v>
      </c>
      <c r="C4357" t="s">
        <v>201</v>
      </c>
      <c r="D4357">
        <v>2631</v>
      </c>
      <c r="E4357" s="1">
        <v>9.2999999999999992E-3</v>
      </c>
      <c r="F4357" s="1">
        <v>4.7999999999999996E-3</v>
      </c>
      <c r="G4357" s="1">
        <v>0.8236</v>
      </c>
      <c r="H4357" s="1">
        <v>4.4200000000000003E-2</v>
      </c>
      <c r="I4357" s="1">
        <v>0.11799999999999999</v>
      </c>
    </row>
    <row r="4358" spans="1:11" x14ac:dyDescent="0.25">
      <c r="A4358" t="s">
        <v>198</v>
      </c>
      <c r="B4358">
        <v>96</v>
      </c>
      <c r="C4358" t="s">
        <v>202</v>
      </c>
      <c r="D4358">
        <v>2631</v>
      </c>
      <c r="G4358" s="1">
        <v>0.73829999999999996</v>
      </c>
      <c r="H4358" s="1">
        <v>1.5299999999999999E-2</v>
      </c>
      <c r="I4358" s="1">
        <v>0.24640000000000001</v>
      </c>
    </row>
    <row r="4359" spans="1:11" x14ac:dyDescent="0.25">
      <c r="A4359" t="s">
        <v>203</v>
      </c>
      <c r="B4359">
        <v>529</v>
      </c>
      <c r="C4359" t="s">
        <v>199</v>
      </c>
      <c r="D4359">
        <v>2631</v>
      </c>
      <c r="E4359" s="1">
        <v>1.9E-3</v>
      </c>
      <c r="F4359" s="1">
        <v>3.7199999999999997E-2</v>
      </c>
      <c r="G4359" s="1">
        <v>0.78920000000000001</v>
      </c>
      <c r="H4359" s="1">
        <v>1.9E-2</v>
      </c>
      <c r="I4359" s="1">
        <v>0.1527</v>
      </c>
    </row>
    <row r="4360" spans="1:11" x14ac:dyDescent="0.25">
      <c r="A4360" t="s">
        <v>203</v>
      </c>
      <c r="B4360">
        <v>503</v>
      </c>
      <c r="C4360" t="s">
        <v>200</v>
      </c>
      <c r="D4360">
        <v>2631</v>
      </c>
      <c r="F4360" s="1">
        <v>1.2999999999999999E-3</v>
      </c>
      <c r="G4360" s="1">
        <v>0.78249999999999997</v>
      </c>
      <c r="H4360" s="1">
        <v>5.4999999999999997E-3</v>
      </c>
      <c r="I4360" s="1">
        <v>0.2107</v>
      </c>
    </row>
    <row r="4361" spans="1:11" x14ac:dyDescent="0.25">
      <c r="A4361" t="s">
        <v>203</v>
      </c>
      <c r="B4361">
        <v>321</v>
      </c>
      <c r="C4361" t="s">
        <v>201</v>
      </c>
      <c r="D4361">
        <v>2631</v>
      </c>
      <c r="F4361" s="1">
        <v>3.8E-3</v>
      </c>
      <c r="G4361" s="1">
        <v>0.61560000000000004</v>
      </c>
      <c r="H4361" s="1">
        <v>1.3299999999999999E-2</v>
      </c>
      <c r="I4361" s="1">
        <v>0.36709999999999998</v>
      </c>
      <c r="J4361" s="1">
        <v>2.0000000000000001E-4</v>
      </c>
    </row>
    <row r="4362" spans="1:11" x14ac:dyDescent="0.25">
      <c r="A4362" t="s">
        <v>203</v>
      </c>
      <c r="B4362">
        <v>90</v>
      </c>
      <c r="C4362" t="s">
        <v>202</v>
      </c>
      <c r="D4362">
        <v>2631</v>
      </c>
      <c r="F4362" s="1">
        <v>2.5399999999999999E-2</v>
      </c>
      <c r="G4362" s="1">
        <v>0.56269999999999998</v>
      </c>
      <c r="H4362" s="1">
        <v>1.2500000000000001E-2</v>
      </c>
      <c r="I4362" s="1">
        <v>0.39939999999999998</v>
      </c>
    </row>
    <row r="4363" spans="1:11" x14ac:dyDescent="0.25">
      <c r="A4363" t="s">
        <v>204</v>
      </c>
      <c r="B4363">
        <v>2631</v>
      </c>
      <c r="C4363" t="s">
        <v>204</v>
      </c>
      <c r="D4363">
        <v>2631</v>
      </c>
      <c r="E4363" s="1">
        <v>6.9999999999999999E-4</v>
      </c>
      <c r="F4363" s="1">
        <v>9.7999999999999997E-3</v>
      </c>
      <c r="G4363" s="1">
        <v>0.75960000000000005</v>
      </c>
      <c r="H4363" s="1">
        <v>1.6799999999999999E-2</v>
      </c>
      <c r="I4363" s="1">
        <v>0.21310000000000001</v>
      </c>
      <c r="J4363" s="1">
        <v>0</v>
      </c>
    </row>
    <row r="4365" spans="1:11" x14ac:dyDescent="0.25">
      <c r="A4365" t="s">
        <v>977</v>
      </c>
    </row>
    <row r="4366" spans="1:11" x14ac:dyDescent="0.25">
      <c r="A4366" t="s">
        <v>190</v>
      </c>
      <c r="B4366" t="s">
        <v>206</v>
      </c>
      <c r="C4366" t="s">
        <v>195</v>
      </c>
      <c r="D4366" t="s">
        <v>189</v>
      </c>
      <c r="E4366" t="s">
        <v>196</v>
      </c>
      <c r="F4366" t="s">
        <v>220</v>
      </c>
      <c r="G4366" t="s">
        <v>973</v>
      </c>
      <c r="H4366" t="s">
        <v>974</v>
      </c>
      <c r="I4366" t="s">
        <v>975</v>
      </c>
      <c r="J4366" t="s">
        <v>976</v>
      </c>
      <c r="K4366" t="s">
        <v>235</v>
      </c>
    </row>
    <row r="4367" spans="1:11" x14ac:dyDescent="0.25">
      <c r="A4367" t="s">
        <v>198</v>
      </c>
      <c r="B4367" t="s">
        <v>228</v>
      </c>
      <c r="C4367">
        <v>33</v>
      </c>
      <c r="D4367" t="s">
        <v>197</v>
      </c>
      <c r="E4367">
        <v>2631</v>
      </c>
      <c r="H4367" s="1">
        <v>0.77249999999999996</v>
      </c>
      <c r="I4367" s="1">
        <v>0.1056</v>
      </c>
      <c r="J4367" s="1">
        <v>0.12189999999999999</v>
      </c>
    </row>
    <row r="4368" spans="1:11" x14ac:dyDescent="0.25">
      <c r="A4368" t="s">
        <v>198</v>
      </c>
      <c r="B4368" t="s">
        <v>229</v>
      </c>
      <c r="C4368">
        <v>49</v>
      </c>
      <c r="D4368" t="s">
        <v>197</v>
      </c>
      <c r="E4368">
        <v>2631</v>
      </c>
      <c r="H4368" s="1">
        <v>0.81310000000000004</v>
      </c>
      <c r="I4368" s="1">
        <v>1.9400000000000001E-2</v>
      </c>
      <c r="J4368" s="1">
        <v>0.16750000000000001</v>
      </c>
    </row>
    <row r="4369" spans="1:11" x14ac:dyDescent="0.25">
      <c r="A4369" t="s">
        <v>198</v>
      </c>
      <c r="B4369" t="s">
        <v>228</v>
      </c>
      <c r="C4369">
        <v>145</v>
      </c>
      <c r="D4369" t="s">
        <v>199</v>
      </c>
      <c r="E4369">
        <v>2631</v>
      </c>
      <c r="G4369" s="1">
        <v>2.2800000000000001E-2</v>
      </c>
      <c r="H4369" s="1">
        <v>0.80479999999999996</v>
      </c>
      <c r="J4369" s="1">
        <v>0.1724</v>
      </c>
    </row>
    <row r="4370" spans="1:11" x14ac:dyDescent="0.25">
      <c r="A4370" t="s">
        <v>198</v>
      </c>
      <c r="B4370" t="s">
        <v>229</v>
      </c>
      <c r="C4370">
        <v>213</v>
      </c>
      <c r="D4370" t="s">
        <v>199</v>
      </c>
      <c r="E4370">
        <v>2631</v>
      </c>
      <c r="G4370" s="1">
        <v>1.7500000000000002E-2</v>
      </c>
      <c r="H4370" s="1">
        <v>0.78739999999999999</v>
      </c>
      <c r="I4370" s="1">
        <v>3.5999999999999999E-3</v>
      </c>
      <c r="J4370" s="1">
        <v>0.19139999999999999</v>
      </c>
    </row>
    <row r="4371" spans="1:11" x14ac:dyDescent="0.25">
      <c r="A4371" t="s">
        <v>198</v>
      </c>
      <c r="B4371" t="s">
        <v>229</v>
      </c>
      <c r="C4371">
        <v>270</v>
      </c>
      <c r="D4371" t="s">
        <v>200</v>
      </c>
      <c r="E4371">
        <v>2631</v>
      </c>
      <c r="G4371" s="1">
        <v>2.0999999999999999E-3</v>
      </c>
      <c r="H4371" s="1">
        <v>0.77559999999999996</v>
      </c>
      <c r="I4371" s="1">
        <v>3.3300000000000003E-2</v>
      </c>
      <c r="J4371" s="1">
        <v>0.18870000000000001</v>
      </c>
      <c r="K4371" s="1">
        <v>2.9999999999999997E-4</v>
      </c>
    </row>
    <row r="4372" spans="1:11" x14ac:dyDescent="0.25">
      <c r="A4372" t="s">
        <v>198</v>
      </c>
      <c r="B4372" t="s">
        <v>228</v>
      </c>
      <c r="C4372">
        <v>111</v>
      </c>
      <c r="D4372" t="s">
        <v>200</v>
      </c>
      <c r="E4372">
        <v>2631</v>
      </c>
      <c r="G4372" s="1">
        <v>3.0999999999999999E-3</v>
      </c>
      <c r="H4372" s="1">
        <v>0.68730000000000002</v>
      </c>
      <c r="I4372" s="1">
        <v>1.9699999999999999E-2</v>
      </c>
      <c r="J4372" s="1">
        <v>0.28989999999999999</v>
      </c>
    </row>
    <row r="4373" spans="1:11" x14ac:dyDescent="0.25">
      <c r="A4373" t="s">
        <v>198</v>
      </c>
      <c r="B4373" t="s">
        <v>228</v>
      </c>
      <c r="C4373">
        <v>95</v>
      </c>
      <c r="D4373" t="s">
        <v>201</v>
      </c>
      <c r="E4373">
        <v>2631</v>
      </c>
      <c r="G4373" s="1">
        <v>1.9599999999999999E-2</v>
      </c>
      <c r="H4373" s="1">
        <v>0.80689999999999995</v>
      </c>
      <c r="I4373" s="1">
        <v>2.4299999999999999E-2</v>
      </c>
      <c r="J4373" s="1">
        <v>0.14929999999999999</v>
      </c>
    </row>
    <row r="4374" spans="1:11" x14ac:dyDescent="0.25">
      <c r="A4374" t="s">
        <v>198</v>
      </c>
      <c r="B4374" t="s">
        <v>229</v>
      </c>
      <c r="C4374">
        <v>155</v>
      </c>
      <c r="D4374" t="s">
        <v>201</v>
      </c>
      <c r="E4374">
        <v>2631</v>
      </c>
      <c r="F4374" s="1">
        <v>1.2E-2</v>
      </c>
      <c r="G4374" s="1">
        <v>8.9999999999999998E-4</v>
      </c>
      <c r="H4374" s="1">
        <v>0.82789999999999997</v>
      </c>
      <c r="I4374" s="1">
        <v>4.9799999999999997E-2</v>
      </c>
      <c r="J4374" s="1">
        <v>0.1094</v>
      </c>
    </row>
    <row r="4375" spans="1:11" s="29" customFormat="1" x14ac:dyDescent="0.25">
      <c r="A4375" s="29" t="s">
        <v>198</v>
      </c>
      <c r="B4375" s="29" t="s">
        <v>228</v>
      </c>
      <c r="C4375" s="29">
        <v>28</v>
      </c>
      <c r="D4375" s="29" t="s">
        <v>202</v>
      </c>
      <c r="E4375" s="29">
        <v>2631</v>
      </c>
      <c r="H4375" s="30">
        <v>0.76270000000000004</v>
      </c>
      <c r="J4375" s="30">
        <v>0.23730000000000001</v>
      </c>
    </row>
    <row r="4376" spans="1:11" x14ac:dyDescent="0.25">
      <c r="A4376" t="s">
        <v>198</v>
      </c>
      <c r="B4376" t="s">
        <v>229</v>
      </c>
      <c r="C4376">
        <v>68</v>
      </c>
      <c r="D4376" t="s">
        <v>202</v>
      </c>
      <c r="E4376">
        <v>2631</v>
      </c>
      <c r="H4376" s="1">
        <v>0.73080000000000001</v>
      </c>
      <c r="I4376" s="1">
        <v>0.02</v>
      </c>
      <c r="J4376" s="1">
        <v>0.2492</v>
      </c>
    </row>
    <row r="4377" spans="1:11" x14ac:dyDescent="0.25">
      <c r="A4377" t="s">
        <v>203</v>
      </c>
      <c r="B4377" t="s">
        <v>229</v>
      </c>
      <c r="C4377">
        <v>369</v>
      </c>
      <c r="D4377" t="s">
        <v>199</v>
      </c>
      <c r="E4377">
        <v>2631</v>
      </c>
      <c r="F4377" s="1">
        <v>5.0000000000000001E-4</v>
      </c>
      <c r="G4377" s="1">
        <v>3.1099999999999999E-2</v>
      </c>
      <c r="H4377" s="1">
        <v>0.7974</v>
      </c>
      <c r="I4377" s="1">
        <v>1.8700000000000001E-2</v>
      </c>
      <c r="J4377" s="1">
        <v>0.15229999999999999</v>
      </c>
    </row>
    <row r="4378" spans="1:11" x14ac:dyDescent="0.25">
      <c r="A4378" t="s">
        <v>203</v>
      </c>
      <c r="B4378" t="s">
        <v>228</v>
      </c>
      <c r="C4378">
        <v>150</v>
      </c>
      <c r="D4378" t="s">
        <v>199</v>
      </c>
      <c r="E4378">
        <v>2631</v>
      </c>
      <c r="F4378" s="1">
        <v>1.37E-2</v>
      </c>
      <c r="G4378" s="1">
        <v>8.9099999999999999E-2</v>
      </c>
      <c r="H4378" s="1">
        <v>0.72829999999999995</v>
      </c>
      <c r="I4378" s="1">
        <v>2.2499999999999999E-2</v>
      </c>
      <c r="J4378" s="1">
        <v>0.1464</v>
      </c>
    </row>
    <row r="4379" spans="1:11" x14ac:dyDescent="0.25">
      <c r="A4379" t="s">
        <v>203</v>
      </c>
      <c r="B4379" t="s">
        <v>229</v>
      </c>
      <c r="C4379">
        <v>347</v>
      </c>
      <c r="D4379" t="s">
        <v>200</v>
      </c>
      <c r="E4379">
        <v>2631</v>
      </c>
      <c r="G4379" s="1">
        <v>1.6999999999999999E-3</v>
      </c>
      <c r="H4379" s="1">
        <v>0.77580000000000005</v>
      </c>
      <c r="I4379" s="1">
        <v>6.7999999999999996E-3</v>
      </c>
      <c r="J4379" s="1">
        <v>0.21579999999999999</v>
      </c>
    </row>
    <row r="4380" spans="1:11" x14ac:dyDescent="0.25">
      <c r="A4380" t="s">
        <v>203</v>
      </c>
      <c r="B4380" t="s">
        <v>228</v>
      </c>
      <c r="C4380">
        <v>155</v>
      </c>
      <c r="D4380" t="s">
        <v>200</v>
      </c>
      <c r="E4380">
        <v>2631</v>
      </c>
      <c r="H4380" s="1">
        <v>0.8105</v>
      </c>
      <c r="J4380" s="1">
        <v>0.1895</v>
      </c>
    </row>
    <row r="4381" spans="1:11" x14ac:dyDescent="0.25">
      <c r="A4381" t="s">
        <v>203</v>
      </c>
      <c r="B4381" t="s">
        <v>229</v>
      </c>
      <c r="C4381">
        <v>137</v>
      </c>
      <c r="D4381" t="s">
        <v>201</v>
      </c>
      <c r="E4381">
        <v>2631</v>
      </c>
      <c r="G4381" s="1">
        <v>2.5000000000000001E-3</v>
      </c>
      <c r="H4381" s="1">
        <v>0.62739999999999996</v>
      </c>
      <c r="I4381" s="1">
        <v>5.5999999999999999E-3</v>
      </c>
      <c r="J4381" s="1">
        <v>0.36449999999999999</v>
      </c>
    </row>
    <row r="4382" spans="1:11" x14ac:dyDescent="0.25">
      <c r="A4382" t="s">
        <v>203</v>
      </c>
      <c r="B4382" t="s">
        <v>228</v>
      </c>
      <c r="C4382">
        <v>177</v>
      </c>
      <c r="D4382" t="s">
        <v>201</v>
      </c>
      <c r="E4382">
        <v>2631</v>
      </c>
      <c r="G4382" s="1">
        <v>8.3000000000000001E-3</v>
      </c>
      <c r="H4382" s="1">
        <v>0.58140000000000003</v>
      </c>
      <c r="I4382" s="1">
        <v>3.7900000000000003E-2</v>
      </c>
      <c r="J4382" s="1">
        <v>0.37159999999999999</v>
      </c>
      <c r="K4382" s="1">
        <v>8.0000000000000004E-4</v>
      </c>
    </row>
    <row r="4383" spans="1:11" x14ac:dyDescent="0.25">
      <c r="A4383" t="s">
        <v>203</v>
      </c>
      <c r="B4383" t="s">
        <v>228</v>
      </c>
      <c r="C4383">
        <v>34</v>
      </c>
      <c r="D4383" t="s">
        <v>202</v>
      </c>
      <c r="E4383">
        <v>2631</v>
      </c>
      <c r="G4383" s="1">
        <v>7.2400000000000006E-2</v>
      </c>
      <c r="H4383" s="1">
        <v>0.56720000000000004</v>
      </c>
      <c r="I4383" s="1">
        <v>1.32E-2</v>
      </c>
      <c r="J4383" s="1">
        <v>0.34720000000000001</v>
      </c>
    </row>
    <row r="4384" spans="1:11" x14ac:dyDescent="0.25">
      <c r="A4384" t="s">
        <v>203</v>
      </c>
      <c r="B4384" t="s">
        <v>229</v>
      </c>
      <c r="C4384">
        <v>56</v>
      </c>
      <c r="D4384" t="s">
        <v>202</v>
      </c>
      <c r="E4384">
        <v>2631</v>
      </c>
      <c r="G4384" s="1">
        <v>6.8999999999999999E-3</v>
      </c>
      <c r="H4384" s="1">
        <v>0.56089999999999995</v>
      </c>
      <c r="I4384" s="1">
        <v>1.2200000000000001E-2</v>
      </c>
      <c r="J4384" s="1">
        <v>0.42</v>
      </c>
    </row>
    <row r="4385" spans="1:11" x14ac:dyDescent="0.25">
      <c r="A4385" t="s">
        <v>204</v>
      </c>
      <c r="B4385" t="s">
        <v>204</v>
      </c>
      <c r="C4385">
        <v>2631</v>
      </c>
      <c r="D4385" t="s">
        <v>204</v>
      </c>
      <c r="E4385">
        <v>2631</v>
      </c>
      <c r="F4385" s="1">
        <v>6.9999999999999999E-4</v>
      </c>
      <c r="G4385" s="1">
        <v>9.7999999999999997E-3</v>
      </c>
      <c r="H4385" s="1">
        <v>0.75960000000000005</v>
      </c>
      <c r="I4385" s="1">
        <v>1.6799999999999999E-2</v>
      </c>
      <c r="J4385" s="1">
        <v>0.21310000000000001</v>
      </c>
      <c r="K4385" s="1">
        <v>0</v>
      </c>
    </row>
    <row r="4387" spans="1:11" x14ac:dyDescent="0.25">
      <c r="A4387" t="s">
        <v>978</v>
      </c>
    </row>
    <row r="4388" spans="1:11" x14ac:dyDescent="0.25">
      <c r="A4388" t="s">
        <v>190</v>
      </c>
      <c r="B4388" t="s">
        <v>206</v>
      </c>
      <c r="C4388" t="s">
        <v>195</v>
      </c>
      <c r="D4388" t="s">
        <v>189</v>
      </c>
      <c r="E4388" t="s">
        <v>196</v>
      </c>
      <c r="F4388" t="s">
        <v>220</v>
      </c>
      <c r="G4388" t="s">
        <v>973</v>
      </c>
      <c r="H4388" t="s">
        <v>974</v>
      </c>
      <c r="I4388" t="s">
        <v>975</v>
      </c>
      <c r="J4388" t="s">
        <v>976</v>
      </c>
      <c r="K4388" t="s">
        <v>235</v>
      </c>
    </row>
    <row r="4389" spans="1:11" x14ac:dyDescent="0.25">
      <c r="A4389" t="s">
        <v>198</v>
      </c>
      <c r="B4389" t="s">
        <v>348</v>
      </c>
      <c r="C4389">
        <v>79</v>
      </c>
      <c r="D4389" t="s">
        <v>197</v>
      </c>
      <c r="E4389">
        <v>2631</v>
      </c>
      <c r="H4389" s="1">
        <v>0.78859999999999997</v>
      </c>
      <c r="I4389" s="1">
        <v>5.8599999999999999E-2</v>
      </c>
      <c r="J4389" s="1">
        <v>0.15290000000000001</v>
      </c>
    </row>
    <row r="4390" spans="1:11" s="29" customFormat="1" x14ac:dyDescent="0.25">
      <c r="A4390" s="29" t="s">
        <v>198</v>
      </c>
      <c r="B4390" s="29" t="s">
        <v>349</v>
      </c>
      <c r="C4390" s="29">
        <v>3</v>
      </c>
      <c r="D4390" s="29" t="s">
        <v>197</v>
      </c>
      <c r="E4390" s="29">
        <v>2631</v>
      </c>
      <c r="H4390" s="30">
        <v>1</v>
      </c>
    </row>
    <row r="4391" spans="1:11" x14ac:dyDescent="0.25">
      <c r="A4391" t="s">
        <v>198</v>
      </c>
      <c r="B4391" t="s">
        <v>348</v>
      </c>
      <c r="C4391">
        <v>54</v>
      </c>
      <c r="D4391" t="s">
        <v>199</v>
      </c>
      <c r="E4391">
        <v>2631</v>
      </c>
      <c r="G4391" s="1">
        <v>3.8E-3</v>
      </c>
      <c r="H4391" s="1">
        <v>0.85899999999999999</v>
      </c>
      <c r="J4391" s="1">
        <v>0.13719999999999999</v>
      </c>
    </row>
    <row r="4392" spans="1:11" x14ac:dyDescent="0.25">
      <c r="A4392" t="s">
        <v>198</v>
      </c>
      <c r="B4392" t="s">
        <v>349</v>
      </c>
      <c r="C4392">
        <v>111</v>
      </c>
      <c r="D4392" t="s">
        <v>199</v>
      </c>
      <c r="E4392">
        <v>2631</v>
      </c>
      <c r="G4392" s="1">
        <v>1.09E-2</v>
      </c>
      <c r="H4392" s="1">
        <v>0.76739999999999997</v>
      </c>
      <c r="J4392" s="1">
        <v>0.22170000000000001</v>
      </c>
    </row>
    <row r="4393" spans="1:11" x14ac:dyDescent="0.25">
      <c r="A4393" t="s">
        <v>198</v>
      </c>
      <c r="B4393" t="s">
        <v>350</v>
      </c>
      <c r="C4393">
        <v>193</v>
      </c>
      <c r="D4393" t="s">
        <v>199</v>
      </c>
      <c r="E4393">
        <v>2631</v>
      </c>
      <c r="G4393" s="1">
        <v>3.3000000000000002E-2</v>
      </c>
      <c r="H4393" s="1">
        <v>0.79630000000000001</v>
      </c>
      <c r="I4393" s="1">
        <v>6.4999999999999997E-3</v>
      </c>
      <c r="J4393" s="1">
        <v>0.16420000000000001</v>
      </c>
    </row>
    <row r="4394" spans="1:11" x14ac:dyDescent="0.25">
      <c r="A4394" t="s">
        <v>198</v>
      </c>
      <c r="B4394" t="s">
        <v>350</v>
      </c>
      <c r="C4394">
        <v>78</v>
      </c>
      <c r="D4394" t="s">
        <v>200</v>
      </c>
      <c r="E4394">
        <v>2631</v>
      </c>
      <c r="G4394" s="1">
        <v>2.8E-3</v>
      </c>
      <c r="H4394" s="1">
        <v>0.69089999999999996</v>
      </c>
      <c r="I4394" s="1">
        <v>3.2099999999999997E-2</v>
      </c>
      <c r="J4394" s="1">
        <v>0.27429999999999999</v>
      </c>
    </row>
    <row r="4395" spans="1:11" x14ac:dyDescent="0.25">
      <c r="A4395" t="s">
        <v>198</v>
      </c>
      <c r="B4395" t="s">
        <v>348</v>
      </c>
      <c r="C4395">
        <v>241</v>
      </c>
      <c r="D4395" t="s">
        <v>200</v>
      </c>
      <c r="E4395">
        <v>2631</v>
      </c>
      <c r="H4395" s="1">
        <v>0.76119999999999999</v>
      </c>
      <c r="I4395" s="1">
        <v>3.2000000000000001E-2</v>
      </c>
      <c r="J4395" s="1">
        <v>0.20680000000000001</v>
      </c>
    </row>
    <row r="4396" spans="1:11" x14ac:dyDescent="0.25">
      <c r="A4396" t="s">
        <v>198</v>
      </c>
      <c r="B4396" t="s">
        <v>349</v>
      </c>
      <c r="C4396">
        <v>62</v>
      </c>
      <c r="D4396" t="s">
        <v>200</v>
      </c>
      <c r="E4396">
        <v>2631</v>
      </c>
      <c r="G4396" s="1">
        <v>3.6700000000000003E-2</v>
      </c>
      <c r="H4396" s="1">
        <v>0.74199999999999999</v>
      </c>
      <c r="J4396" s="1">
        <v>0.21709999999999999</v>
      </c>
      <c r="K4396" s="1">
        <v>4.1999999999999997E-3</v>
      </c>
    </row>
    <row r="4397" spans="1:11" x14ac:dyDescent="0.25">
      <c r="A4397" t="s">
        <v>198</v>
      </c>
      <c r="B4397" t="s">
        <v>349</v>
      </c>
      <c r="C4397">
        <v>125</v>
      </c>
      <c r="D4397" t="s">
        <v>201</v>
      </c>
      <c r="E4397">
        <v>2631</v>
      </c>
      <c r="F4397" s="1">
        <v>1.3599999999999999E-2</v>
      </c>
      <c r="G4397" s="1">
        <v>8.9999999999999998E-4</v>
      </c>
      <c r="H4397" s="1">
        <v>0.84970000000000001</v>
      </c>
      <c r="I4397" s="1">
        <v>4.5100000000000001E-2</v>
      </c>
      <c r="J4397" s="1">
        <v>9.0700000000000003E-2</v>
      </c>
    </row>
    <row r="4398" spans="1:11" x14ac:dyDescent="0.25">
      <c r="A4398" t="s">
        <v>198</v>
      </c>
      <c r="B4398" t="s">
        <v>350</v>
      </c>
      <c r="C4398">
        <v>63</v>
      </c>
      <c r="D4398" t="s">
        <v>201</v>
      </c>
      <c r="E4398">
        <v>2631</v>
      </c>
      <c r="G4398" s="1">
        <v>1.47E-2</v>
      </c>
      <c r="H4398" s="1">
        <v>0.56610000000000005</v>
      </c>
      <c r="J4398" s="1">
        <v>0.41920000000000002</v>
      </c>
    </row>
    <row r="4399" spans="1:11" x14ac:dyDescent="0.25">
      <c r="A4399" t="s">
        <v>198</v>
      </c>
      <c r="B4399" t="s">
        <v>348</v>
      </c>
      <c r="C4399">
        <v>62</v>
      </c>
      <c r="D4399" t="s">
        <v>201</v>
      </c>
      <c r="E4399">
        <v>2631</v>
      </c>
      <c r="G4399" s="1">
        <v>1.37E-2</v>
      </c>
      <c r="H4399" s="1">
        <v>0.79859999999999998</v>
      </c>
      <c r="I4399" s="1">
        <v>5.0200000000000002E-2</v>
      </c>
      <c r="J4399" s="1">
        <v>0.13750000000000001</v>
      </c>
    </row>
    <row r="4400" spans="1:11" x14ac:dyDescent="0.25">
      <c r="A4400" t="s">
        <v>198</v>
      </c>
      <c r="B4400" t="s">
        <v>348</v>
      </c>
      <c r="C4400">
        <v>96</v>
      </c>
      <c r="D4400" t="s">
        <v>202</v>
      </c>
      <c r="E4400">
        <v>2631</v>
      </c>
      <c r="H4400" s="1">
        <v>0.73829999999999996</v>
      </c>
      <c r="I4400" s="1">
        <v>1.5299999999999999E-2</v>
      </c>
      <c r="J4400" s="1">
        <v>0.24640000000000001</v>
      </c>
    </row>
    <row r="4401" spans="1:13" x14ac:dyDescent="0.25">
      <c r="A4401" t="s">
        <v>203</v>
      </c>
      <c r="B4401" t="s">
        <v>349</v>
      </c>
      <c r="C4401">
        <v>171</v>
      </c>
      <c r="D4401" t="s">
        <v>199</v>
      </c>
      <c r="E4401">
        <v>2631</v>
      </c>
      <c r="F4401" s="1">
        <v>2.8E-3</v>
      </c>
      <c r="G4401" s="1">
        <v>5.0999999999999997E-2</v>
      </c>
      <c r="H4401" s="1">
        <v>0.64629999999999999</v>
      </c>
      <c r="I4401" s="1">
        <v>7.6E-3</v>
      </c>
      <c r="J4401" s="1">
        <v>0.2923</v>
      </c>
    </row>
    <row r="4402" spans="1:13" x14ac:dyDescent="0.25">
      <c r="A4402" t="s">
        <v>203</v>
      </c>
      <c r="B4402" t="s">
        <v>348</v>
      </c>
      <c r="C4402">
        <v>42</v>
      </c>
      <c r="D4402" t="s">
        <v>199</v>
      </c>
      <c r="E4402">
        <v>2631</v>
      </c>
      <c r="F4402" s="1">
        <v>0.01</v>
      </c>
      <c r="G4402" s="1">
        <v>3.1800000000000002E-2</v>
      </c>
      <c r="H4402" s="1">
        <v>0.86660000000000004</v>
      </c>
      <c r="I4402" s="1">
        <v>2.9899999999999999E-2</v>
      </c>
      <c r="J4402" s="1">
        <v>6.1800000000000001E-2</v>
      </c>
    </row>
    <row r="4403" spans="1:13" x14ac:dyDescent="0.25">
      <c r="A4403" t="s">
        <v>203</v>
      </c>
      <c r="B4403" t="s">
        <v>350</v>
      </c>
      <c r="C4403">
        <v>306</v>
      </c>
      <c r="D4403" t="s">
        <v>199</v>
      </c>
      <c r="E4403">
        <v>2631</v>
      </c>
      <c r="F4403" s="1">
        <v>8.9999999999999998E-4</v>
      </c>
      <c r="G4403" s="1">
        <v>3.0599999999999999E-2</v>
      </c>
      <c r="H4403" s="1">
        <v>0.85870000000000002</v>
      </c>
      <c r="I4403" s="1">
        <v>2.4299999999999999E-2</v>
      </c>
      <c r="J4403" s="1">
        <v>8.5500000000000007E-2</v>
      </c>
    </row>
    <row r="4404" spans="1:13" x14ac:dyDescent="0.25">
      <c r="A4404" t="s">
        <v>203</v>
      </c>
      <c r="B4404" t="s">
        <v>348</v>
      </c>
      <c r="C4404">
        <v>300</v>
      </c>
      <c r="D4404" t="s">
        <v>200</v>
      </c>
      <c r="E4404">
        <v>2631</v>
      </c>
      <c r="H4404" s="1">
        <v>0.79</v>
      </c>
      <c r="I4404" s="1">
        <v>5.1000000000000004E-3</v>
      </c>
      <c r="J4404" s="1">
        <v>0.2049</v>
      </c>
    </row>
    <row r="4405" spans="1:13" x14ac:dyDescent="0.25">
      <c r="A4405" t="s">
        <v>203</v>
      </c>
      <c r="B4405" t="s">
        <v>349</v>
      </c>
      <c r="C4405">
        <v>108</v>
      </c>
      <c r="D4405" t="s">
        <v>200</v>
      </c>
      <c r="E4405">
        <v>2631</v>
      </c>
      <c r="G4405" s="1">
        <v>1.67E-2</v>
      </c>
      <c r="H4405" s="1">
        <v>0.68700000000000006</v>
      </c>
      <c r="I4405" s="1">
        <v>2.8999999999999998E-3</v>
      </c>
      <c r="J4405" s="1">
        <v>0.29339999999999999</v>
      </c>
    </row>
    <row r="4406" spans="1:13" x14ac:dyDescent="0.25">
      <c r="A4406" t="s">
        <v>203</v>
      </c>
      <c r="B4406" t="s">
        <v>350</v>
      </c>
      <c r="C4406">
        <v>94</v>
      </c>
      <c r="D4406" t="s">
        <v>200</v>
      </c>
      <c r="E4406">
        <v>2631</v>
      </c>
      <c r="H4406" s="1">
        <v>0.81079999999999997</v>
      </c>
      <c r="I4406" s="1">
        <v>2.23E-2</v>
      </c>
      <c r="J4406" s="1">
        <v>0.16689999999999999</v>
      </c>
    </row>
    <row r="4407" spans="1:13" x14ac:dyDescent="0.25">
      <c r="A4407" t="s">
        <v>203</v>
      </c>
      <c r="B4407" t="s">
        <v>348</v>
      </c>
      <c r="C4407">
        <v>62</v>
      </c>
      <c r="D4407" t="s">
        <v>201</v>
      </c>
      <c r="E4407">
        <v>2631</v>
      </c>
      <c r="G4407" s="1">
        <v>1.26E-2</v>
      </c>
      <c r="H4407" s="1">
        <v>0.78049999999999997</v>
      </c>
      <c r="I4407" s="1">
        <v>0.1024</v>
      </c>
      <c r="J4407" s="1">
        <v>0.1046</v>
      </c>
    </row>
    <row r="4408" spans="1:13" x14ac:dyDescent="0.25">
      <c r="A4408" t="s">
        <v>203</v>
      </c>
      <c r="B4408" t="s">
        <v>349</v>
      </c>
      <c r="C4408">
        <v>147</v>
      </c>
      <c r="D4408" t="s">
        <v>201</v>
      </c>
      <c r="E4408">
        <v>2631</v>
      </c>
      <c r="G4408" s="1">
        <v>3.0000000000000001E-3</v>
      </c>
      <c r="H4408" s="1">
        <v>0.60040000000000004</v>
      </c>
      <c r="I4408" s="1">
        <v>2.3E-3</v>
      </c>
      <c r="J4408" s="1">
        <v>0.39429999999999998</v>
      </c>
    </row>
    <row r="4409" spans="1:13" x14ac:dyDescent="0.25">
      <c r="A4409" t="s">
        <v>203</v>
      </c>
      <c r="B4409" t="s">
        <v>350</v>
      </c>
      <c r="C4409">
        <v>105</v>
      </c>
      <c r="D4409" t="s">
        <v>201</v>
      </c>
      <c r="E4409">
        <v>2631</v>
      </c>
      <c r="H4409" s="1">
        <v>0.54659999999999997</v>
      </c>
      <c r="I4409" s="1">
        <v>2.8E-3</v>
      </c>
      <c r="J4409" s="1">
        <v>0.44790000000000002</v>
      </c>
      <c r="K4409" s="1">
        <v>2.8E-3</v>
      </c>
    </row>
    <row r="4410" spans="1:13" x14ac:dyDescent="0.25">
      <c r="A4410" t="s">
        <v>203</v>
      </c>
      <c r="B4410" t="s">
        <v>348</v>
      </c>
      <c r="C4410">
        <v>90</v>
      </c>
      <c r="D4410" t="s">
        <v>202</v>
      </c>
      <c r="E4410">
        <v>2631</v>
      </c>
      <c r="G4410" s="1">
        <v>2.5399999999999999E-2</v>
      </c>
      <c r="H4410" s="1">
        <v>0.56269999999999998</v>
      </c>
      <c r="I4410" s="1">
        <v>1.2500000000000001E-2</v>
      </c>
      <c r="J4410" s="1">
        <v>0.39939999999999998</v>
      </c>
    </row>
    <row r="4411" spans="1:13" x14ac:dyDescent="0.25">
      <c r="A4411" t="s">
        <v>204</v>
      </c>
      <c r="B4411" t="s">
        <v>204</v>
      </c>
      <c r="C4411">
        <v>2631</v>
      </c>
      <c r="D4411" t="s">
        <v>204</v>
      </c>
      <c r="E4411">
        <v>2631</v>
      </c>
      <c r="F4411" s="1">
        <v>6.9999999999999999E-4</v>
      </c>
      <c r="G4411" s="1">
        <v>9.7999999999999997E-3</v>
      </c>
      <c r="H4411" s="1">
        <v>0.75960000000000005</v>
      </c>
      <c r="I4411" s="1">
        <v>1.6799999999999999E-2</v>
      </c>
      <c r="J4411" s="1">
        <v>0.21310000000000001</v>
      </c>
      <c r="K4411" s="1">
        <v>0</v>
      </c>
    </row>
    <row r="4413" spans="1:13" x14ac:dyDescent="0.25">
      <c r="A4413" t="s">
        <v>979</v>
      </c>
    </row>
    <row r="4414" spans="1:13" x14ac:dyDescent="0.25">
      <c r="A4414" t="s">
        <v>190</v>
      </c>
      <c r="B4414" t="s">
        <v>195</v>
      </c>
      <c r="C4414" t="s">
        <v>189</v>
      </c>
      <c r="D4414" t="s">
        <v>196</v>
      </c>
      <c r="E4414" t="s">
        <v>980</v>
      </c>
      <c r="F4414" t="s">
        <v>220</v>
      </c>
      <c r="G4414" t="s">
        <v>981</v>
      </c>
      <c r="H4414" t="s">
        <v>982</v>
      </c>
      <c r="I4414" t="s">
        <v>983</v>
      </c>
      <c r="J4414" t="s">
        <v>271</v>
      </c>
      <c r="K4414" t="s">
        <v>235</v>
      </c>
      <c r="L4414" t="s">
        <v>215</v>
      </c>
      <c r="M4414" t="s">
        <v>984</v>
      </c>
    </row>
    <row r="4415" spans="1:13" x14ac:dyDescent="0.25">
      <c r="A4415" t="s">
        <v>198</v>
      </c>
      <c r="B4415">
        <v>82</v>
      </c>
      <c r="C4415" t="s">
        <v>197</v>
      </c>
      <c r="D4415">
        <v>2632</v>
      </c>
      <c r="E4415" s="1">
        <v>0.17080000000000001</v>
      </c>
      <c r="F4415" s="1">
        <v>2.0799999999999999E-2</v>
      </c>
      <c r="H4415" s="1">
        <v>6.4100000000000004E-2</v>
      </c>
      <c r="I4415" s="1">
        <v>0.1696</v>
      </c>
      <c r="J4415" s="1">
        <v>0.63419999999999999</v>
      </c>
      <c r="K4415" s="1">
        <v>2.12E-2</v>
      </c>
      <c r="M4415" s="1">
        <v>2.0799999999999999E-2</v>
      </c>
    </row>
    <row r="4416" spans="1:13" x14ac:dyDescent="0.25">
      <c r="A4416" t="s">
        <v>198</v>
      </c>
      <c r="B4416">
        <v>368</v>
      </c>
      <c r="C4416" t="s">
        <v>199</v>
      </c>
      <c r="D4416">
        <v>2632</v>
      </c>
      <c r="E4416" s="1">
        <v>0.26529999999999998</v>
      </c>
      <c r="F4416" s="1">
        <v>1.2999999999999999E-3</v>
      </c>
      <c r="G4416" s="1">
        <v>5.3E-3</v>
      </c>
      <c r="H4416" s="1">
        <v>0.2016</v>
      </c>
      <c r="I4416" s="1">
        <v>0.24829999999999999</v>
      </c>
      <c r="J4416" s="1">
        <v>0.4657</v>
      </c>
      <c r="K4416" s="1">
        <v>5.3900000000000003E-2</v>
      </c>
      <c r="M4416" s="1">
        <v>6.2600000000000003E-2</v>
      </c>
    </row>
    <row r="4417" spans="1:14" x14ac:dyDescent="0.25">
      <c r="A4417" t="s">
        <v>198</v>
      </c>
      <c r="B4417">
        <v>387</v>
      </c>
      <c r="C4417" t="s">
        <v>200</v>
      </c>
      <c r="D4417">
        <v>2632</v>
      </c>
      <c r="E4417" s="1">
        <v>0.15939999999999999</v>
      </c>
      <c r="F4417" s="1">
        <v>1.6999999999999999E-3</v>
      </c>
      <c r="G4417" s="1">
        <v>1.2200000000000001E-2</v>
      </c>
      <c r="H4417" s="1">
        <v>0.1605</v>
      </c>
      <c r="I4417" s="1">
        <v>0.27339999999999998</v>
      </c>
      <c r="J4417" s="1">
        <v>0.53659999999999997</v>
      </c>
      <c r="K4417" s="1">
        <v>4.2700000000000002E-2</v>
      </c>
      <c r="M4417" s="1">
        <v>7.2999999999999995E-2</v>
      </c>
    </row>
    <row r="4418" spans="1:14" x14ac:dyDescent="0.25">
      <c r="A4418" t="s">
        <v>198</v>
      </c>
      <c r="B4418">
        <v>256</v>
      </c>
      <c r="C4418" t="s">
        <v>201</v>
      </c>
      <c r="D4418">
        <v>2632</v>
      </c>
      <c r="E4418" s="1">
        <v>0.2281</v>
      </c>
      <c r="F4418" s="1">
        <v>0.01</v>
      </c>
      <c r="G4418" s="1">
        <v>2.76E-2</v>
      </c>
      <c r="H4418" s="1">
        <v>4.87E-2</v>
      </c>
      <c r="I4418" s="1">
        <v>0.26319999999999999</v>
      </c>
      <c r="J4418" s="1">
        <v>0.54359999999999997</v>
      </c>
      <c r="K4418" s="1">
        <v>4.41E-2</v>
      </c>
      <c r="M4418" s="1">
        <v>6.08E-2</v>
      </c>
    </row>
    <row r="4419" spans="1:14" x14ac:dyDescent="0.25">
      <c r="A4419" t="s">
        <v>198</v>
      </c>
      <c r="B4419">
        <v>96</v>
      </c>
      <c r="C4419" t="s">
        <v>202</v>
      </c>
      <c r="D4419">
        <v>2632</v>
      </c>
      <c r="E4419" s="1">
        <v>0.1386</v>
      </c>
      <c r="F4419" s="1">
        <v>2.52E-2</v>
      </c>
      <c r="G4419" s="1">
        <v>1.5599999999999999E-2</v>
      </c>
      <c r="H4419" s="1">
        <v>0.14530000000000001</v>
      </c>
      <c r="I4419" s="1">
        <v>0.24179999999999999</v>
      </c>
      <c r="J4419" s="1">
        <v>0.5847</v>
      </c>
      <c r="K4419" s="1">
        <v>9.4700000000000006E-2</v>
      </c>
      <c r="M4419" s="1">
        <v>1.46E-2</v>
      </c>
    </row>
    <row r="4420" spans="1:14" x14ac:dyDescent="0.25">
      <c r="A4420" t="s">
        <v>203</v>
      </c>
      <c r="B4420">
        <v>529</v>
      </c>
      <c r="C4420" t="s">
        <v>199</v>
      </c>
      <c r="D4420">
        <v>2632</v>
      </c>
      <c r="E4420" s="1">
        <v>0.43209999999999998</v>
      </c>
      <c r="F4420" s="1">
        <v>1.1000000000000001E-3</v>
      </c>
      <c r="G4420" s="1">
        <v>1.4800000000000001E-2</v>
      </c>
      <c r="H4420" s="1">
        <v>0.34110000000000001</v>
      </c>
      <c r="I4420" s="1">
        <v>0.31840000000000002</v>
      </c>
      <c r="J4420" s="1">
        <v>0.34599999999999997</v>
      </c>
      <c r="K4420" s="1">
        <v>3.3300000000000003E-2</v>
      </c>
      <c r="M4420" s="1">
        <v>6.5699999999999995E-2</v>
      </c>
    </row>
    <row r="4421" spans="1:14" x14ac:dyDescent="0.25">
      <c r="A4421" t="s">
        <v>203</v>
      </c>
      <c r="B4421">
        <v>503</v>
      </c>
      <c r="C4421" t="s">
        <v>200</v>
      </c>
      <c r="D4421">
        <v>2632</v>
      </c>
      <c r="E4421" s="1">
        <v>0.1285</v>
      </c>
      <c r="F4421" s="1">
        <v>2.8999999999999998E-3</v>
      </c>
      <c r="G4421" s="1">
        <v>5.5999999999999999E-3</v>
      </c>
      <c r="H4421" s="1">
        <v>0.24929999999999999</v>
      </c>
      <c r="I4421" s="1">
        <v>0.39290000000000003</v>
      </c>
      <c r="J4421" s="1">
        <v>0.46920000000000001</v>
      </c>
      <c r="K4421" s="1">
        <v>8.0299999999999996E-2</v>
      </c>
      <c r="M4421" s="1">
        <v>8.43E-2</v>
      </c>
    </row>
    <row r="4422" spans="1:14" x14ac:dyDescent="0.25">
      <c r="A4422" t="s">
        <v>203</v>
      </c>
      <c r="B4422">
        <v>321</v>
      </c>
      <c r="C4422" t="s">
        <v>201</v>
      </c>
      <c r="D4422">
        <v>2632</v>
      </c>
      <c r="E4422" s="1">
        <v>0.23280000000000001</v>
      </c>
      <c r="F4422" s="1">
        <v>1.1999999999999999E-3</v>
      </c>
      <c r="G4422" s="1">
        <v>4.1999999999999997E-3</v>
      </c>
      <c r="H4422" s="1">
        <v>6.8999999999999999E-3</v>
      </c>
      <c r="I4422" s="1">
        <v>0.19650000000000001</v>
      </c>
      <c r="J4422" s="1">
        <v>0.59930000000000005</v>
      </c>
      <c r="K4422" s="1">
        <v>6.4000000000000003E-3</v>
      </c>
      <c r="L4422" s="1">
        <v>2.0000000000000001E-4</v>
      </c>
      <c r="M4422" s="1">
        <v>5.5800000000000002E-2</v>
      </c>
    </row>
    <row r="4423" spans="1:14" x14ac:dyDescent="0.25">
      <c r="A4423" t="s">
        <v>203</v>
      </c>
      <c r="B4423">
        <v>90</v>
      </c>
      <c r="C4423" t="s">
        <v>202</v>
      </c>
      <c r="D4423">
        <v>2632</v>
      </c>
      <c r="E4423" s="1">
        <v>0.1017</v>
      </c>
      <c r="G4423" s="1">
        <v>5.8999999999999999E-3</v>
      </c>
      <c r="H4423" s="1">
        <v>0.1381</v>
      </c>
      <c r="I4423" s="1">
        <v>0.2056</v>
      </c>
      <c r="J4423" s="1">
        <v>0.62419999999999998</v>
      </c>
      <c r="K4423" s="1">
        <v>1.4800000000000001E-2</v>
      </c>
      <c r="L4423" s="1">
        <v>4.8999999999999998E-3</v>
      </c>
      <c r="M4423" s="1">
        <v>3.6900000000000002E-2</v>
      </c>
    </row>
    <row r="4424" spans="1:14" x14ac:dyDescent="0.25">
      <c r="A4424" t="s">
        <v>204</v>
      </c>
      <c r="B4424">
        <v>2632</v>
      </c>
      <c r="C4424" t="s">
        <v>204</v>
      </c>
      <c r="D4424">
        <v>2632</v>
      </c>
      <c r="E4424" s="1">
        <v>0.2019</v>
      </c>
      <c r="F4424" s="1">
        <v>5.7000000000000002E-3</v>
      </c>
      <c r="G4424" s="1">
        <v>9.1000000000000004E-3</v>
      </c>
      <c r="H4424" s="1">
        <v>0.19420000000000001</v>
      </c>
      <c r="I4424" s="1">
        <v>0.29499999999999998</v>
      </c>
      <c r="J4424" s="1">
        <v>0.50109999999999999</v>
      </c>
      <c r="K4424" s="1">
        <v>5.4699999999999999E-2</v>
      </c>
      <c r="L4424" s="1">
        <v>2.9999999999999997E-4</v>
      </c>
      <c r="M4424" s="1">
        <v>6.2E-2</v>
      </c>
    </row>
    <row r="4426" spans="1:14" x14ac:dyDescent="0.25">
      <c r="A4426" t="s">
        <v>985</v>
      </c>
    </row>
    <row r="4427" spans="1:14" x14ac:dyDescent="0.25">
      <c r="A4427" t="s">
        <v>190</v>
      </c>
      <c r="B4427" t="s">
        <v>206</v>
      </c>
      <c r="C4427" t="s">
        <v>195</v>
      </c>
      <c r="D4427" t="s">
        <v>189</v>
      </c>
      <c r="E4427" t="s">
        <v>196</v>
      </c>
      <c r="F4427" t="s">
        <v>980</v>
      </c>
      <c r="G4427" t="s">
        <v>220</v>
      </c>
      <c r="H4427" t="s">
        <v>981</v>
      </c>
      <c r="I4427" t="s">
        <v>982</v>
      </c>
      <c r="J4427" t="s">
        <v>983</v>
      </c>
      <c r="K4427" t="s">
        <v>271</v>
      </c>
      <c r="L4427" t="s">
        <v>235</v>
      </c>
      <c r="M4427" t="s">
        <v>215</v>
      </c>
      <c r="N4427" t="s">
        <v>984</v>
      </c>
    </row>
    <row r="4428" spans="1:14" x14ac:dyDescent="0.25">
      <c r="A4428" t="s">
        <v>198</v>
      </c>
      <c r="B4428" t="s">
        <v>228</v>
      </c>
      <c r="C4428">
        <v>33</v>
      </c>
      <c r="D4428" t="s">
        <v>197</v>
      </c>
      <c r="E4428">
        <v>2632</v>
      </c>
      <c r="F4428" s="1">
        <v>9.11E-2</v>
      </c>
      <c r="G4428" s="1">
        <v>4.82E-2</v>
      </c>
      <c r="I4428" s="1">
        <v>4.82E-2</v>
      </c>
      <c r="J4428" s="1">
        <v>0.1084</v>
      </c>
      <c r="K4428" s="1">
        <v>0.6724</v>
      </c>
      <c r="L4428" s="1">
        <v>4.9200000000000001E-2</v>
      </c>
      <c r="N4428" s="1">
        <v>4.82E-2</v>
      </c>
    </row>
    <row r="4429" spans="1:14" x14ac:dyDescent="0.25">
      <c r="A4429" t="s">
        <v>198</v>
      </c>
      <c r="B4429" t="s">
        <v>229</v>
      </c>
      <c r="C4429">
        <v>49</v>
      </c>
      <c r="D4429" t="s">
        <v>197</v>
      </c>
      <c r="E4429">
        <v>2632</v>
      </c>
      <c r="F4429" s="1">
        <v>0.23139999999999999</v>
      </c>
      <c r="I4429" s="1">
        <v>7.6200000000000004E-2</v>
      </c>
      <c r="J4429" s="1">
        <v>0.2162</v>
      </c>
      <c r="K4429" s="1">
        <v>0.60509999999999997</v>
      </c>
    </row>
    <row r="4430" spans="1:14" x14ac:dyDescent="0.25">
      <c r="A4430" t="s">
        <v>198</v>
      </c>
      <c r="B4430" t="s">
        <v>228</v>
      </c>
      <c r="C4430">
        <v>145</v>
      </c>
      <c r="D4430" t="s">
        <v>199</v>
      </c>
      <c r="E4430">
        <v>2632</v>
      </c>
      <c r="F4430" s="1">
        <v>0.24179999999999999</v>
      </c>
      <c r="G4430" s="1">
        <v>4.8999999999999998E-3</v>
      </c>
      <c r="H4430" s="1">
        <v>1.2800000000000001E-2</v>
      </c>
      <c r="I4430" s="1">
        <v>0.1605</v>
      </c>
      <c r="J4430" s="1">
        <v>0.28739999999999999</v>
      </c>
      <c r="K4430" s="1">
        <v>0.54039999999999999</v>
      </c>
      <c r="L4430" s="1">
        <v>3.2599999999999997E-2</v>
      </c>
      <c r="N4430" s="1">
        <v>4.5100000000000001E-2</v>
      </c>
    </row>
    <row r="4431" spans="1:14" x14ac:dyDescent="0.25">
      <c r="A4431" t="s">
        <v>198</v>
      </c>
      <c r="B4431" t="s">
        <v>229</v>
      </c>
      <c r="C4431">
        <v>213</v>
      </c>
      <c r="D4431" t="s">
        <v>199</v>
      </c>
      <c r="E4431">
        <v>2632</v>
      </c>
      <c r="F4431" s="1">
        <v>0.27450000000000002</v>
      </c>
      <c r="H4431" s="1">
        <v>2.7000000000000001E-3</v>
      </c>
      <c r="I4431" s="1">
        <v>0.218</v>
      </c>
      <c r="J4431" s="1">
        <v>0.23710000000000001</v>
      </c>
      <c r="K4431" s="1">
        <v>0.438</v>
      </c>
      <c r="L4431" s="1">
        <v>5.9900000000000002E-2</v>
      </c>
      <c r="N4431" s="1">
        <v>6.93E-2</v>
      </c>
    </row>
    <row r="4432" spans="1:14" x14ac:dyDescent="0.25">
      <c r="A4432" t="s">
        <v>198</v>
      </c>
      <c r="B4432" t="s">
        <v>229</v>
      </c>
      <c r="C4432">
        <v>270</v>
      </c>
      <c r="D4432" t="s">
        <v>200</v>
      </c>
      <c r="E4432">
        <v>2632</v>
      </c>
      <c r="F4432" s="1">
        <v>0.1641</v>
      </c>
      <c r="G4432" s="1">
        <v>2.3E-3</v>
      </c>
      <c r="H4432" s="1">
        <v>1.4999999999999999E-2</v>
      </c>
      <c r="I4432" s="1">
        <v>0.19159999999999999</v>
      </c>
      <c r="J4432" s="1">
        <v>0.27700000000000002</v>
      </c>
      <c r="K4432" s="1">
        <v>0.50519999999999998</v>
      </c>
      <c r="L4432" s="1">
        <v>4.8899999999999999E-2</v>
      </c>
      <c r="N4432" s="1">
        <v>5.4100000000000002E-2</v>
      </c>
    </row>
    <row r="4433" spans="1:14" x14ac:dyDescent="0.25">
      <c r="A4433" t="s">
        <v>198</v>
      </c>
      <c r="B4433" t="s">
        <v>228</v>
      </c>
      <c r="C4433">
        <v>112</v>
      </c>
      <c r="D4433" t="s">
        <v>200</v>
      </c>
      <c r="E4433">
        <v>2632</v>
      </c>
      <c r="F4433" s="1">
        <v>0.14849999999999999</v>
      </c>
      <c r="H4433" s="1">
        <v>3.5000000000000001E-3</v>
      </c>
      <c r="I4433" s="1">
        <v>6.3200000000000006E-2</v>
      </c>
      <c r="J4433" s="1">
        <v>0.26979999999999998</v>
      </c>
      <c r="K4433" s="1">
        <v>0.62570000000000003</v>
      </c>
      <c r="L4433" s="1">
        <v>2.3699999999999999E-2</v>
      </c>
      <c r="N4433" s="1">
        <v>0.13750000000000001</v>
      </c>
    </row>
    <row r="4434" spans="1:14" x14ac:dyDescent="0.25">
      <c r="A4434" t="s">
        <v>198</v>
      </c>
      <c r="B4434" t="s">
        <v>228</v>
      </c>
      <c r="C4434">
        <v>95</v>
      </c>
      <c r="D4434" t="s">
        <v>201</v>
      </c>
      <c r="E4434">
        <v>2632</v>
      </c>
      <c r="F4434" s="1">
        <v>0.17760000000000001</v>
      </c>
      <c r="H4434" s="1">
        <v>3.1600000000000003E-2</v>
      </c>
      <c r="I4434" s="1">
        <v>7.7999999999999996E-3</v>
      </c>
      <c r="J4434" s="1">
        <v>0.2591</v>
      </c>
      <c r="K4434" s="1">
        <v>0.55310000000000004</v>
      </c>
      <c r="L4434" s="1">
        <v>6.93E-2</v>
      </c>
      <c r="N4434" s="1">
        <v>1.09E-2</v>
      </c>
    </row>
    <row r="4435" spans="1:14" x14ac:dyDescent="0.25">
      <c r="A4435" t="s">
        <v>198</v>
      </c>
      <c r="B4435" t="s">
        <v>229</v>
      </c>
      <c r="C4435">
        <v>155</v>
      </c>
      <c r="D4435" t="s">
        <v>201</v>
      </c>
      <c r="E4435">
        <v>2632</v>
      </c>
      <c r="F4435" s="1">
        <v>0.2389</v>
      </c>
      <c r="G4435" s="1">
        <v>1.29E-2</v>
      </c>
      <c r="H4435" s="1">
        <v>2.69E-2</v>
      </c>
      <c r="I4435" s="1">
        <v>6.0600000000000001E-2</v>
      </c>
      <c r="J4435" s="1">
        <v>0.26750000000000002</v>
      </c>
      <c r="K4435" s="1">
        <v>0.54139999999999999</v>
      </c>
      <c r="L4435" s="1">
        <v>3.7400000000000003E-2</v>
      </c>
      <c r="N4435" s="1">
        <v>7.4899999999999994E-2</v>
      </c>
    </row>
    <row r="4436" spans="1:14" s="29" customFormat="1" x14ac:dyDescent="0.25">
      <c r="A4436" s="29" t="s">
        <v>198</v>
      </c>
      <c r="B4436" s="29" t="s">
        <v>228</v>
      </c>
      <c r="C4436" s="29">
        <v>28</v>
      </c>
      <c r="D4436" s="29" t="s">
        <v>202</v>
      </c>
      <c r="E4436" s="29">
        <v>2632</v>
      </c>
      <c r="F4436" s="30">
        <v>0.12989999999999999</v>
      </c>
      <c r="H4436" s="30">
        <v>6.6100000000000006E-2</v>
      </c>
      <c r="I4436" s="30">
        <v>8.0299999999999996E-2</v>
      </c>
      <c r="J4436" s="30">
        <v>0.16209999999999999</v>
      </c>
      <c r="K4436" s="30">
        <v>0.59550000000000003</v>
      </c>
      <c r="L4436" s="30">
        <v>0.1469</v>
      </c>
      <c r="N4436" s="30">
        <v>5.0900000000000001E-2</v>
      </c>
    </row>
    <row r="4437" spans="1:14" x14ac:dyDescent="0.25">
      <c r="A4437" t="s">
        <v>198</v>
      </c>
      <c r="B4437" t="s">
        <v>229</v>
      </c>
      <c r="C4437">
        <v>68</v>
      </c>
      <c r="D4437" t="s">
        <v>202</v>
      </c>
      <c r="E4437">
        <v>2632</v>
      </c>
      <c r="F4437" s="1">
        <v>0.14119999999999999</v>
      </c>
      <c r="G4437" s="1">
        <v>3.3000000000000002E-2</v>
      </c>
      <c r="I4437" s="1">
        <v>0.16550000000000001</v>
      </c>
      <c r="J4437" s="1">
        <v>0.26650000000000001</v>
      </c>
      <c r="K4437" s="1">
        <v>0.58130000000000004</v>
      </c>
      <c r="L4437" s="1">
        <v>7.85E-2</v>
      </c>
      <c r="N4437" s="1">
        <v>3.3E-3</v>
      </c>
    </row>
    <row r="4438" spans="1:14" x14ac:dyDescent="0.25">
      <c r="A4438" t="s">
        <v>203</v>
      </c>
      <c r="B4438" t="s">
        <v>229</v>
      </c>
      <c r="C4438">
        <v>369</v>
      </c>
      <c r="D4438" t="s">
        <v>199</v>
      </c>
      <c r="E4438">
        <v>2632</v>
      </c>
      <c r="F4438" s="1">
        <v>0.44109999999999999</v>
      </c>
      <c r="G4438" s="1">
        <v>5.9999999999999995E-4</v>
      </c>
      <c r="H4438" s="1">
        <v>1.2E-2</v>
      </c>
      <c r="I4438" s="1">
        <v>0.3634</v>
      </c>
      <c r="J4438" s="1">
        <v>0.31909999999999999</v>
      </c>
      <c r="K4438" s="1">
        <v>0.33489999999999998</v>
      </c>
      <c r="L4438" s="1">
        <v>3.2000000000000001E-2</v>
      </c>
      <c r="N4438" s="1">
        <v>6.8000000000000005E-2</v>
      </c>
    </row>
    <row r="4439" spans="1:14" x14ac:dyDescent="0.25">
      <c r="A4439" t="s">
        <v>203</v>
      </c>
      <c r="B4439" t="s">
        <v>228</v>
      </c>
      <c r="C4439">
        <v>150</v>
      </c>
      <c r="D4439" t="s">
        <v>199</v>
      </c>
      <c r="E4439">
        <v>2632</v>
      </c>
      <c r="F4439" s="1">
        <v>0.3478</v>
      </c>
      <c r="G4439" s="1">
        <v>4.8999999999999998E-3</v>
      </c>
      <c r="H4439" s="1">
        <v>2.4899999999999999E-2</v>
      </c>
      <c r="I4439" s="1">
        <v>0.15179999999999999</v>
      </c>
      <c r="J4439" s="1">
        <v>0.31530000000000002</v>
      </c>
      <c r="K4439" s="1">
        <v>0.44359999999999999</v>
      </c>
      <c r="L4439" s="1">
        <v>4.5699999999999998E-2</v>
      </c>
      <c r="N4439" s="1">
        <v>3.8199999999999998E-2</v>
      </c>
    </row>
    <row r="4440" spans="1:14" x14ac:dyDescent="0.25">
      <c r="A4440" t="s">
        <v>203</v>
      </c>
      <c r="B4440" t="s">
        <v>229</v>
      </c>
      <c r="C4440">
        <v>347</v>
      </c>
      <c r="D4440" t="s">
        <v>200</v>
      </c>
      <c r="E4440">
        <v>2632</v>
      </c>
      <c r="F4440" s="1">
        <v>0.13650000000000001</v>
      </c>
      <c r="G4440" s="1">
        <v>1.2999999999999999E-3</v>
      </c>
      <c r="H4440" s="1">
        <v>6.8999999999999999E-3</v>
      </c>
      <c r="I4440" s="1">
        <v>0.28699999999999998</v>
      </c>
      <c r="J4440" s="1">
        <v>0.41020000000000001</v>
      </c>
      <c r="K4440" s="1">
        <v>0.4415</v>
      </c>
      <c r="L4440" s="1">
        <v>9.2600000000000002E-2</v>
      </c>
      <c r="N4440" s="1">
        <v>6.9400000000000003E-2</v>
      </c>
    </row>
    <row r="4441" spans="1:14" x14ac:dyDescent="0.25">
      <c r="A4441" t="s">
        <v>203</v>
      </c>
      <c r="B4441" t="s">
        <v>228</v>
      </c>
      <c r="C4441">
        <v>155</v>
      </c>
      <c r="D4441" t="s">
        <v>200</v>
      </c>
      <c r="E4441">
        <v>2632</v>
      </c>
      <c r="F4441" s="1">
        <v>9.4700000000000006E-2</v>
      </c>
      <c r="G4441" s="1">
        <v>9.5999999999999992E-3</v>
      </c>
      <c r="I4441" s="1">
        <v>9.1999999999999998E-2</v>
      </c>
      <c r="J4441" s="1">
        <v>0.32129999999999997</v>
      </c>
      <c r="K4441" s="1">
        <v>0.58479999999999999</v>
      </c>
      <c r="L4441" s="1">
        <v>2.9399999999999999E-2</v>
      </c>
      <c r="N4441" s="1">
        <v>0.14680000000000001</v>
      </c>
    </row>
    <row r="4442" spans="1:14" x14ac:dyDescent="0.25">
      <c r="A4442" t="s">
        <v>203</v>
      </c>
      <c r="B4442" t="s">
        <v>229</v>
      </c>
      <c r="C4442">
        <v>137</v>
      </c>
      <c r="D4442" t="s">
        <v>201</v>
      </c>
      <c r="E4442">
        <v>2632</v>
      </c>
      <c r="F4442" s="1">
        <v>0.26650000000000001</v>
      </c>
      <c r="G4442" s="1">
        <v>1.5E-3</v>
      </c>
      <c r="H4442" s="1">
        <v>3.2000000000000002E-3</v>
      </c>
      <c r="I4442" s="1">
        <v>2.5000000000000001E-3</v>
      </c>
      <c r="J4442" s="1">
        <v>0.1789</v>
      </c>
      <c r="K4442" s="1">
        <v>0.60119999999999996</v>
      </c>
      <c r="L4442" s="1">
        <v>4.5999999999999999E-3</v>
      </c>
      <c r="N4442" s="1">
        <v>5.8700000000000002E-2</v>
      </c>
    </row>
    <row r="4443" spans="1:14" x14ac:dyDescent="0.25">
      <c r="A4443" t="s">
        <v>203</v>
      </c>
      <c r="B4443" t="s">
        <v>228</v>
      </c>
      <c r="C4443">
        <v>177</v>
      </c>
      <c r="D4443" t="s">
        <v>201</v>
      </c>
      <c r="E4443">
        <v>2632</v>
      </c>
      <c r="F4443" s="1">
        <v>0.1255</v>
      </c>
      <c r="H4443" s="1">
        <v>7.3000000000000001E-3</v>
      </c>
      <c r="I4443" s="1">
        <v>2.1000000000000001E-2</v>
      </c>
      <c r="J4443" s="1">
        <v>0.25459999999999999</v>
      </c>
      <c r="K4443" s="1">
        <v>0.59250000000000003</v>
      </c>
      <c r="L4443" s="1">
        <v>1.14E-2</v>
      </c>
      <c r="M4443" s="1">
        <v>8.0000000000000004E-4</v>
      </c>
      <c r="N4443" s="1">
        <v>4.6199999999999998E-2</v>
      </c>
    </row>
    <row r="4444" spans="1:14" x14ac:dyDescent="0.25">
      <c r="A4444" t="s">
        <v>203</v>
      </c>
      <c r="B4444" t="s">
        <v>228</v>
      </c>
      <c r="C4444">
        <v>34</v>
      </c>
      <c r="D4444" t="s">
        <v>202</v>
      </c>
      <c r="E4444">
        <v>2632</v>
      </c>
      <c r="F4444" s="1">
        <v>0.1802</v>
      </c>
      <c r="H4444" s="1">
        <v>2.0899999999999998E-2</v>
      </c>
      <c r="I4444" s="1">
        <v>0.13070000000000001</v>
      </c>
      <c r="J4444" s="1">
        <v>0.14580000000000001</v>
      </c>
      <c r="K4444" s="1">
        <v>0.55269999999999997</v>
      </c>
      <c r="L4444" s="1">
        <v>1.7500000000000002E-2</v>
      </c>
      <c r="N4444" s="1">
        <v>0.1305</v>
      </c>
    </row>
    <row r="4445" spans="1:14" x14ac:dyDescent="0.25">
      <c r="A4445" t="s">
        <v>203</v>
      </c>
      <c r="B4445" t="s">
        <v>229</v>
      </c>
      <c r="C4445">
        <v>56</v>
      </c>
      <c r="D4445" t="s">
        <v>202</v>
      </c>
      <c r="E4445">
        <v>2632</v>
      </c>
      <c r="F4445" s="1">
        <v>7.0699999999999999E-2</v>
      </c>
      <c r="I4445" s="1">
        <v>0.14099999999999999</v>
      </c>
      <c r="J4445" s="1">
        <v>0.2291</v>
      </c>
      <c r="K4445" s="1">
        <v>0.65239999999999998</v>
      </c>
      <c r="L4445" s="1">
        <v>1.38E-2</v>
      </c>
      <c r="M4445" s="1">
        <v>6.8999999999999999E-3</v>
      </c>
    </row>
    <row r="4446" spans="1:14" x14ac:dyDescent="0.25">
      <c r="A4446" t="s">
        <v>204</v>
      </c>
      <c r="B4446" t="s">
        <v>204</v>
      </c>
      <c r="C4446">
        <v>2632</v>
      </c>
      <c r="D4446" t="s">
        <v>204</v>
      </c>
      <c r="E4446">
        <v>2632</v>
      </c>
      <c r="F4446" s="1">
        <v>0.2019</v>
      </c>
      <c r="G4446" s="1">
        <v>5.7000000000000002E-3</v>
      </c>
      <c r="H4446" s="1">
        <v>9.1000000000000004E-3</v>
      </c>
      <c r="I4446" s="1">
        <v>0.19420000000000001</v>
      </c>
      <c r="J4446" s="1">
        <v>0.29499999999999998</v>
      </c>
      <c r="K4446" s="1">
        <v>0.50109999999999999</v>
      </c>
      <c r="L4446" s="1">
        <v>5.4699999999999999E-2</v>
      </c>
      <c r="M4446" s="1">
        <v>2.9999999999999997E-4</v>
      </c>
      <c r="N4446" s="1">
        <v>6.2E-2</v>
      </c>
    </row>
    <row r="4448" spans="1:14" x14ac:dyDescent="0.25">
      <c r="A4448" t="s">
        <v>986</v>
      </c>
    </row>
    <row r="4449" spans="1:14" x14ac:dyDescent="0.25">
      <c r="A4449" t="s">
        <v>190</v>
      </c>
      <c r="B4449" t="s">
        <v>206</v>
      </c>
      <c r="C4449" t="s">
        <v>195</v>
      </c>
      <c r="D4449" t="s">
        <v>189</v>
      </c>
      <c r="E4449" t="s">
        <v>196</v>
      </c>
      <c r="F4449" t="s">
        <v>980</v>
      </c>
      <c r="G4449" t="s">
        <v>220</v>
      </c>
      <c r="H4449" t="s">
        <v>981</v>
      </c>
      <c r="I4449" t="s">
        <v>982</v>
      </c>
      <c r="J4449" t="s">
        <v>983</v>
      </c>
      <c r="K4449" t="s">
        <v>271</v>
      </c>
      <c r="L4449" t="s">
        <v>235</v>
      </c>
      <c r="M4449" t="s">
        <v>215</v>
      </c>
      <c r="N4449" t="s">
        <v>984</v>
      </c>
    </row>
    <row r="4450" spans="1:14" x14ac:dyDescent="0.25">
      <c r="A4450" t="s">
        <v>198</v>
      </c>
      <c r="B4450" t="s">
        <v>348</v>
      </c>
      <c r="C4450">
        <v>79</v>
      </c>
      <c r="D4450" t="s">
        <v>197</v>
      </c>
      <c r="E4450">
        <v>2632</v>
      </c>
      <c r="F4450" s="1">
        <v>0.17660000000000001</v>
      </c>
      <c r="G4450" s="1">
        <v>2.1499999999999998E-2</v>
      </c>
      <c r="I4450" s="1">
        <v>6.6299999999999998E-2</v>
      </c>
      <c r="J4450" s="1">
        <v>0.1754</v>
      </c>
      <c r="K4450" s="1">
        <v>0.62160000000000004</v>
      </c>
      <c r="L4450" s="1">
        <v>2.1999999999999999E-2</v>
      </c>
      <c r="N4450" s="1">
        <v>2.1499999999999998E-2</v>
      </c>
    </row>
    <row r="4451" spans="1:14" s="29" customFormat="1" x14ac:dyDescent="0.25">
      <c r="A4451" s="29" t="s">
        <v>198</v>
      </c>
      <c r="B4451" s="29" t="s">
        <v>349</v>
      </c>
      <c r="C4451" s="29">
        <v>3</v>
      </c>
      <c r="D4451" s="29" t="s">
        <v>197</v>
      </c>
      <c r="E4451" s="29">
        <v>2632</v>
      </c>
      <c r="K4451" s="30">
        <v>1</v>
      </c>
    </row>
    <row r="4452" spans="1:14" x14ac:dyDescent="0.25">
      <c r="A4452" t="s">
        <v>198</v>
      </c>
      <c r="B4452" t="s">
        <v>348</v>
      </c>
      <c r="C4452">
        <v>54</v>
      </c>
      <c r="D4452" t="s">
        <v>199</v>
      </c>
      <c r="E4452">
        <v>2632</v>
      </c>
      <c r="F4452" s="1">
        <v>0.2445</v>
      </c>
      <c r="I4452" s="1">
        <v>1.8200000000000001E-2</v>
      </c>
      <c r="J4452" s="1">
        <v>0.21049999999999999</v>
      </c>
      <c r="K4452" s="1">
        <v>0.61429999999999996</v>
      </c>
      <c r="L4452" s="1">
        <v>1.44E-2</v>
      </c>
      <c r="N4452" s="1">
        <v>7.7000000000000002E-3</v>
      </c>
    </row>
    <row r="4453" spans="1:14" x14ac:dyDescent="0.25">
      <c r="A4453" t="s">
        <v>198</v>
      </c>
      <c r="B4453" t="s">
        <v>349</v>
      </c>
      <c r="C4453">
        <v>111</v>
      </c>
      <c r="D4453" t="s">
        <v>199</v>
      </c>
      <c r="E4453">
        <v>2632</v>
      </c>
      <c r="F4453" s="1">
        <v>0.2651</v>
      </c>
      <c r="H4453" s="1">
        <v>3.8E-3</v>
      </c>
      <c r="I4453" s="1">
        <v>0.14099999999999999</v>
      </c>
      <c r="J4453" s="1">
        <v>0.15640000000000001</v>
      </c>
      <c r="K4453" s="1">
        <v>0.48959999999999998</v>
      </c>
      <c r="L4453" s="1">
        <v>9.0899999999999995E-2</v>
      </c>
      <c r="N4453" s="1">
        <v>6.6299999999999998E-2</v>
      </c>
    </row>
    <row r="4454" spans="1:14" x14ac:dyDescent="0.25">
      <c r="A4454" t="s">
        <v>198</v>
      </c>
      <c r="B4454" t="s">
        <v>350</v>
      </c>
      <c r="C4454">
        <v>193</v>
      </c>
      <c r="D4454" t="s">
        <v>199</v>
      </c>
      <c r="E4454">
        <v>2632</v>
      </c>
      <c r="F4454" s="1">
        <v>0.27450000000000002</v>
      </c>
      <c r="G4454" s="1">
        <v>3.0999999999999999E-3</v>
      </c>
      <c r="H4454" s="1">
        <v>8.8000000000000005E-3</v>
      </c>
      <c r="I4454" s="1">
        <v>0.33550000000000002</v>
      </c>
      <c r="J4454" s="1">
        <v>0.3679</v>
      </c>
      <c r="K4454" s="1">
        <v>0.38519999999999999</v>
      </c>
      <c r="L4454" s="1">
        <v>2.3699999999999999E-2</v>
      </c>
      <c r="N4454" s="1">
        <v>7.8399999999999997E-2</v>
      </c>
    </row>
    <row r="4455" spans="1:14" x14ac:dyDescent="0.25">
      <c r="A4455" t="s">
        <v>198</v>
      </c>
      <c r="B4455" t="s">
        <v>350</v>
      </c>
      <c r="C4455">
        <v>78</v>
      </c>
      <c r="D4455" t="s">
        <v>200</v>
      </c>
      <c r="E4455">
        <v>2632</v>
      </c>
      <c r="F4455" s="1">
        <v>0.26340000000000002</v>
      </c>
      <c r="H4455" s="1">
        <v>4.3400000000000001E-2</v>
      </c>
      <c r="I4455" s="1">
        <v>0.13969999999999999</v>
      </c>
      <c r="J4455" s="1">
        <v>0.25840000000000002</v>
      </c>
      <c r="K4455" s="1">
        <v>0.57030000000000003</v>
      </c>
      <c r="L4455" s="1">
        <v>3.2099999999999997E-2</v>
      </c>
      <c r="N4455" s="1">
        <v>7.4399999999999994E-2</v>
      </c>
    </row>
    <row r="4456" spans="1:14" x14ac:dyDescent="0.25">
      <c r="A4456" t="s">
        <v>198</v>
      </c>
      <c r="B4456" t="s">
        <v>348</v>
      </c>
      <c r="C4456">
        <v>242</v>
      </c>
      <c r="D4456" t="s">
        <v>200</v>
      </c>
      <c r="E4456">
        <v>2632</v>
      </c>
      <c r="F4456" s="1">
        <v>0.16009999999999999</v>
      </c>
      <c r="G4456" s="1">
        <v>2E-3</v>
      </c>
      <c r="H4456" s="1">
        <v>1.06E-2</v>
      </c>
      <c r="I4456" s="1">
        <v>0.17080000000000001</v>
      </c>
      <c r="J4456" s="1">
        <v>0.2722</v>
      </c>
      <c r="K4456" s="1">
        <v>0.52980000000000005</v>
      </c>
      <c r="L4456" s="1">
        <v>4.6699999999999998E-2</v>
      </c>
      <c r="N4456" s="1">
        <v>6.8400000000000002E-2</v>
      </c>
    </row>
    <row r="4457" spans="1:14" x14ac:dyDescent="0.25">
      <c r="A4457" t="s">
        <v>198</v>
      </c>
      <c r="B4457" t="s">
        <v>349</v>
      </c>
      <c r="C4457">
        <v>62</v>
      </c>
      <c r="D4457" t="s">
        <v>200</v>
      </c>
      <c r="E4457">
        <v>2632</v>
      </c>
      <c r="F4457" s="1">
        <v>4.1399999999999999E-2</v>
      </c>
      <c r="I4457" s="1">
        <v>5.1799999999999999E-2</v>
      </c>
      <c r="J4457" s="1">
        <v>0.34320000000000001</v>
      </c>
      <c r="K4457" s="1">
        <v>0.54</v>
      </c>
      <c r="L4457" s="1">
        <v>1.6999999999999999E-3</v>
      </c>
      <c r="N4457" s="1">
        <v>0.1492</v>
      </c>
    </row>
    <row r="4458" spans="1:14" x14ac:dyDescent="0.25">
      <c r="A4458" t="s">
        <v>198</v>
      </c>
      <c r="B4458" t="s">
        <v>349</v>
      </c>
      <c r="C4458">
        <v>125</v>
      </c>
      <c r="D4458" t="s">
        <v>201</v>
      </c>
      <c r="E4458">
        <v>2632</v>
      </c>
      <c r="F4458" s="1">
        <v>0.24660000000000001</v>
      </c>
      <c r="G4458" s="1">
        <v>1.3599999999999999E-2</v>
      </c>
      <c r="H4458" s="1">
        <v>2.6700000000000002E-2</v>
      </c>
      <c r="I4458" s="1">
        <v>6.1400000000000003E-2</v>
      </c>
      <c r="J4458" s="1">
        <v>0.27850000000000003</v>
      </c>
      <c r="K4458" s="1">
        <v>0.5242</v>
      </c>
      <c r="L4458" s="1">
        <v>3.7499999999999999E-2</v>
      </c>
      <c r="N4458" s="1">
        <v>7.3999999999999996E-2</v>
      </c>
    </row>
    <row r="4459" spans="1:14" x14ac:dyDescent="0.25">
      <c r="A4459" t="s">
        <v>198</v>
      </c>
      <c r="B4459" t="s">
        <v>350</v>
      </c>
      <c r="C4459">
        <v>63</v>
      </c>
      <c r="D4459" t="s">
        <v>201</v>
      </c>
      <c r="E4459">
        <v>2632</v>
      </c>
      <c r="F4459" s="1">
        <v>0.2228</v>
      </c>
      <c r="G4459" s="1">
        <v>1.47E-2</v>
      </c>
      <c r="H4459" s="1">
        <v>1.3899999999999999E-2</v>
      </c>
      <c r="I4459" s="1">
        <v>8.0399999999999999E-2</v>
      </c>
      <c r="J4459" s="1">
        <v>0.1804</v>
      </c>
      <c r="K4459" s="1">
        <v>0.58909999999999996</v>
      </c>
      <c r="L4459" s="1">
        <v>5.0999999999999997E-2</v>
      </c>
      <c r="N4459" s="1">
        <v>8.8200000000000001E-2</v>
      </c>
    </row>
    <row r="4460" spans="1:14" x14ac:dyDescent="0.25">
      <c r="A4460" t="s">
        <v>198</v>
      </c>
      <c r="B4460" t="s">
        <v>348</v>
      </c>
      <c r="C4460">
        <v>62</v>
      </c>
      <c r="D4460" t="s">
        <v>201</v>
      </c>
      <c r="E4460">
        <v>2632</v>
      </c>
      <c r="F4460" s="1">
        <v>0.17050000000000001</v>
      </c>
      <c r="H4460" s="1">
        <v>3.3500000000000002E-2</v>
      </c>
      <c r="I4460" s="1">
        <v>1.1299999999999999E-2</v>
      </c>
      <c r="J4460" s="1">
        <v>0.24679999999999999</v>
      </c>
      <c r="K4460" s="1">
        <v>0.58819999999999995</v>
      </c>
      <c r="L4460" s="1">
        <v>6.1100000000000002E-2</v>
      </c>
      <c r="N4460" s="1">
        <v>2.2200000000000001E-2</v>
      </c>
    </row>
    <row r="4461" spans="1:14" x14ac:dyDescent="0.25">
      <c r="A4461" t="s">
        <v>198</v>
      </c>
      <c r="B4461" t="s">
        <v>348</v>
      </c>
      <c r="C4461">
        <v>96</v>
      </c>
      <c r="D4461" t="s">
        <v>202</v>
      </c>
      <c r="E4461">
        <v>2632</v>
      </c>
      <c r="F4461" s="1">
        <v>0.1386</v>
      </c>
      <c r="G4461" s="1">
        <v>2.52E-2</v>
      </c>
      <c r="H4461" s="1">
        <v>1.5599999999999999E-2</v>
      </c>
      <c r="I4461" s="1">
        <v>0.14530000000000001</v>
      </c>
      <c r="J4461" s="1">
        <v>0.24179999999999999</v>
      </c>
      <c r="K4461" s="1">
        <v>0.5847</v>
      </c>
      <c r="L4461" s="1">
        <v>9.4700000000000006E-2</v>
      </c>
      <c r="N4461" s="1">
        <v>1.46E-2</v>
      </c>
    </row>
    <row r="4462" spans="1:14" x14ac:dyDescent="0.25">
      <c r="A4462" t="s">
        <v>203</v>
      </c>
      <c r="B4462" t="s">
        <v>349</v>
      </c>
      <c r="C4462">
        <v>171</v>
      </c>
      <c r="D4462" t="s">
        <v>199</v>
      </c>
      <c r="E4462">
        <v>2632</v>
      </c>
      <c r="F4462" s="1">
        <v>0.53469999999999995</v>
      </c>
      <c r="G4462" s="1">
        <v>1.6999999999999999E-3</v>
      </c>
      <c r="H4462" s="1">
        <v>5.8999999999999999E-3</v>
      </c>
      <c r="I4462" s="1">
        <v>0.2782</v>
      </c>
      <c r="J4462" s="1">
        <v>0.1409</v>
      </c>
      <c r="K4462" s="1">
        <v>0.30099999999999999</v>
      </c>
      <c r="L4462" s="1">
        <v>7.4099999999999999E-2</v>
      </c>
      <c r="N4462" s="1">
        <v>3.5099999999999999E-2</v>
      </c>
    </row>
    <row r="4463" spans="1:14" x14ac:dyDescent="0.25">
      <c r="A4463" t="s">
        <v>203</v>
      </c>
      <c r="B4463" t="s">
        <v>348</v>
      </c>
      <c r="C4463">
        <v>42</v>
      </c>
      <c r="D4463" t="s">
        <v>199</v>
      </c>
      <c r="E4463">
        <v>2632</v>
      </c>
      <c r="F4463" s="1">
        <v>0.2009</v>
      </c>
      <c r="I4463" s="1">
        <v>1.4999999999999999E-2</v>
      </c>
      <c r="J4463" s="1">
        <v>0.35799999999999998</v>
      </c>
      <c r="K4463" s="1">
        <v>0.47120000000000001</v>
      </c>
    </row>
    <row r="4464" spans="1:14" x14ac:dyDescent="0.25">
      <c r="A4464" t="s">
        <v>203</v>
      </c>
      <c r="B4464" t="s">
        <v>350</v>
      </c>
      <c r="C4464">
        <v>306</v>
      </c>
      <c r="D4464" t="s">
        <v>199</v>
      </c>
      <c r="E4464">
        <v>2632</v>
      </c>
      <c r="F4464" s="1">
        <v>0.39350000000000002</v>
      </c>
      <c r="G4464" s="1">
        <v>8.0000000000000004E-4</v>
      </c>
      <c r="H4464" s="1">
        <v>1.7999999999999999E-2</v>
      </c>
      <c r="I4464" s="1">
        <v>0.39489999999999997</v>
      </c>
      <c r="J4464" s="1">
        <v>0.4073</v>
      </c>
      <c r="K4464" s="1">
        <v>0.36130000000000001</v>
      </c>
      <c r="L4464" s="1">
        <v>1.4800000000000001E-2</v>
      </c>
      <c r="N4464" s="1">
        <v>8.4500000000000006E-2</v>
      </c>
    </row>
    <row r="4465" spans="1:14" x14ac:dyDescent="0.25">
      <c r="A4465" t="s">
        <v>203</v>
      </c>
      <c r="B4465" t="s">
        <v>348</v>
      </c>
      <c r="C4465">
        <v>300</v>
      </c>
      <c r="D4465" t="s">
        <v>200</v>
      </c>
      <c r="E4465">
        <v>2632</v>
      </c>
      <c r="F4465" s="1">
        <v>0.11749999999999999</v>
      </c>
      <c r="G4465" s="1">
        <v>2.0999999999999999E-3</v>
      </c>
      <c r="H4465" s="1">
        <v>4.1999999999999997E-3</v>
      </c>
      <c r="I4465" s="1">
        <v>0.25779999999999997</v>
      </c>
      <c r="J4465" s="1">
        <v>0.40300000000000002</v>
      </c>
      <c r="K4465" s="1">
        <v>0.46820000000000001</v>
      </c>
      <c r="L4465" s="1">
        <v>8.8700000000000001E-2</v>
      </c>
      <c r="N4465" s="1">
        <v>8.7900000000000006E-2</v>
      </c>
    </row>
    <row r="4466" spans="1:14" x14ac:dyDescent="0.25">
      <c r="A4466" t="s">
        <v>203</v>
      </c>
      <c r="B4466" t="s">
        <v>349</v>
      </c>
      <c r="C4466">
        <v>108</v>
      </c>
      <c r="D4466" t="s">
        <v>200</v>
      </c>
      <c r="E4466">
        <v>2632</v>
      </c>
      <c r="F4466" s="1">
        <v>0.14080000000000001</v>
      </c>
      <c r="G4466" s="1">
        <v>6.4999999999999997E-3</v>
      </c>
      <c r="H4466" s="1">
        <v>1.67E-2</v>
      </c>
      <c r="I4466" s="1">
        <v>0.2009</v>
      </c>
      <c r="J4466" s="1">
        <v>0.3221</v>
      </c>
      <c r="K4466" s="1">
        <v>0.50890000000000002</v>
      </c>
      <c r="L4466" s="1">
        <v>7.9000000000000008E-3</v>
      </c>
      <c r="N4466" s="1">
        <v>2.2000000000000001E-3</v>
      </c>
    </row>
    <row r="4467" spans="1:14" x14ac:dyDescent="0.25">
      <c r="A4467" t="s">
        <v>203</v>
      </c>
      <c r="B4467" t="s">
        <v>350</v>
      </c>
      <c r="C4467">
        <v>94</v>
      </c>
      <c r="D4467" t="s">
        <v>200</v>
      </c>
      <c r="E4467">
        <v>2632</v>
      </c>
      <c r="F4467" s="1">
        <v>0.3896</v>
      </c>
      <c r="G4467" s="1">
        <v>1.55E-2</v>
      </c>
      <c r="H4467" s="1">
        <v>1.55E-2</v>
      </c>
      <c r="I4467" s="1">
        <v>0.13919999999999999</v>
      </c>
      <c r="J4467" s="1">
        <v>0.29670000000000002</v>
      </c>
      <c r="K4467" s="1">
        <v>0.40239999999999998</v>
      </c>
      <c r="L4467" s="1">
        <v>3.3099999999999997E-2</v>
      </c>
      <c r="N4467" s="1">
        <v>0.18720000000000001</v>
      </c>
    </row>
    <row r="4468" spans="1:14" x14ac:dyDescent="0.25">
      <c r="A4468" t="s">
        <v>203</v>
      </c>
      <c r="B4468" t="s">
        <v>348</v>
      </c>
      <c r="C4468">
        <v>62</v>
      </c>
      <c r="D4468" t="s">
        <v>201</v>
      </c>
      <c r="E4468">
        <v>2632</v>
      </c>
      <c r="F4468" s="1">
        <v>0.154</v>
      </c>
      <c r="H4468" s="1">
        <v>1.1599999999999999E-2</v>
      </c>
      <c r="I4468" s="1">
        <v>2.4199999999999999E-2</v>
      </c>
      <c r="J4468" s="1">
        <v>0.25259999999999999</v>
      </c>
      <c r="K4468" s="1">
        <v>0.61990000000000001</v>
      </c>
      <c r="N4468" s="1">
        <v>3.6799999999999999E-2</v>
      </c>
    </row>
    <row r="4469" spans="1:14" x14ac:dyDescent="0.25">
      <c r="A4469" t="s">
        <v>203</v>
      </c>
      <c r="B4469" t="s">
        <v>349</v>
      </c>
      <c r="C4469">
        <v>147</v>
      </c>
      <c r="D4469" t="s">
        <v>201</v>
      </c>
      <c r="E4469">
        <v>2632</v>
      </c>
      <c r="F4469" s="1">
        <v>0.24590000000000001</v>
      </c>
      <c r="H4469" s="1">
        <v>5.0000000000000001E-4</v>
      </c>
      <c r="I4469" s="1">
        <v>2.5000000000000001E-3</v>
      </c>
      <c r="J4469" s="1">
        <v>0.1852</v>
      </c>
      <c r="K4469" s="1">
        <v>0.60509999999999997</v>
      </c>
      <c r="M4469" s="1">
        <v>2.0000000000000001E-4</v>
      </c>
      <c r="N4469" s="1">
        <v>5.1499999999999997E-2</v>
      </c>
    </row>
    <row r="4470" spans="1:14" x14ac:dyDescent="0.25">
      <c r="A4470" t="s">
        <v>203</v>
      </c>
      <c r="B4470" t="s">
        <v>350</v>
      </c>
      <c r="C4470">
        <v>105</v>
      </c>
      <c r="D4470" t="s">
        <v>201</v>
      </c>
      <c r="E4470">
        <v>2632</v>
      </c>
      <c r="F4470" s="1">
        <v>0.20419999999999999</v>
      </c>
      <c r="G4470" s="1">
        <v>1.6199999999999999E-2</v>
      </c>
      <c r="H4470" s="1">
        <v>3.5200000000000002E-2</v>
      </c>
      <c r="I4470" s="1">
        <v>0.03</v>
      </c>
      <c r="J4470" s="1">
        <v>0.24579999999999999</v>
      </c>
      <c r="K4470" s="1">
        <v>0.49859999999999999</v>
      </c>
      <c r="L4470" s="1">
        <v>8.6699999999999999E-2</v>
      </c>
      <c r="N4470" s="1">
        <v>0.13289999999999999</v>
      </c>
    </row>
    <row r="4471" spans="1:14" x14ac:dyDescent="0.25">
      <c r="A4471" t="s">
        <v>203</v>
      </c>
      <c r="B4471" t="s">
        <v>348</v>
      </c>
      <c r="C4471">
        <v>90</v>
      </c>
      <c r="D4471" t="s">
        <v>202</v>
      </c>
      <c r="E4471">
        <v>2632</v>
      </c>
      <c r="F4471" s="1">
        <v>0.1017</v>
      </c>
      <c r="H4471" s="1">
        <v>5.8999999999999999E-3</v>
      </c>
      <c r="I4471" s="1">
        <v>0.1381</v>
      </c>
      <c r="J4471" s="1">
        <v>0.2056</v>
      </c>
      <c r="K4471" s="1">
        <v>0.62419999999999998</v>
      </c>
      <c r="L4471" s="1">
        <v>1.4800000000000001E-2</v>
      </c>
      <c r="M4471" s="1">
        <v>4.8999999999999998E-3</v>
      </c>
      <c r="N4471" s="1">
        <v>3.6900000000000002E-2</v>
      </c>
    </row>
    <row r="4472" spans="1:14" x14ac:dyDescent="0.25">
      <c r="A4472" t="s">
        <v>204</v>
      </c>
      <c r="B4472" t="s">
        <v>204</v>
      </c>
      <c r="C4472">
        <v>2632</v>
      </c>
      <c r="D4472" t="s">
        <v>204</v>
      </c>
      <c r="E4472">
        <v>2632</v>
      </c>
      <c r="F4472" s="1">
        <v>0.2019</v>
      </c>
      <c r="G4472" s="1">
        <v>5.7000000000000002E-3</v>
      </c>
      <c r="H4472" s="1">
        <v>9.1000000000000004E-3</v>
      </c>
      <c r="I4472" s="1">
        <v>0.19420000000000001</v>
      </c>
      <c r="J4472" s="1">
        <v>0.29499999999999998</v>
      </c>
      <c r="K4472" s="1">
        <v>0.50109999999999999</v>
      </c>
      <c r="L4472" s="1">
        <v>5.4699999999999999E-2</v>
      </c>
      <c r="M4472" s="1">
        <v>2.9999999999999997E-4</v>
      </c>
      <c r="N4472" s="1">
        <v>6.2E-2</v>
      </c>
    </row>
    <row r="4474" spans="1:14" x14ac:dyDescent="0.25">
      <c r="A4474" t="s">
        <v>987</v>
      </c>
    </row>
    <row r="4475" spans="1:14" x14ac:dyDescent="0.25">
      <c r="A4475" t="s">
        <v>190</v>
      </c>
      <c r="B4475" t="s">
        <v>195</v>
      </c>
      <c r="C4475" t="s">
        <v>189</v>
      </c>
      <c r="D4475" t="s">
        <v>196</v>
      </c>
      <c r="E4475" t="s">
        <v>220</v>
      </c>
      <c r="F4475" t="s">
        <v>207</v>
      </c>
      <c r="G4475" t="s">
        <v>208</v>
      </c>
    </row>
    <row r="4476" spans="1:14" x14ac:dyDescent="0.25">
      <c r="A4476" t="s">
        <v>198</v>
      </c>
      <c r="B4476">
        <v>82</v>
      </c>
      <c r="C4476" t="s">
        <v>197</v>
      </c>
      <c r="D4476">
        <v>2632</v>
      </c>
      <c r="F4476" s="1">
        <v>0.90010000000000001</v>
      </c>
      <c r="G4476" s="1">
        <v>9.9900000000000003E-2</v>
      </c>
    </row>
    <row r="4477" spans="1:14" x14ac:dyDescent="0.25">
      <c r="A4477" t="s">
        <v>198</v>
      </c>
      <c r="B4477">
        <v>368</v>
      </c>
      <c r="C4477" t="s">
        <v>199</v>
      </c>
      <c r="D4477">
        <v>2632</v>
      </c>
      <c r="E4477" s="1">
        <v>4.4000000000000003E-3</v>
      </c>
      <c r="F4477" s="1">
        <v>0.86319999999999997</v>
      </c>
      <c r="G4477" s="1">
        <v>0.13239999999999999</v>
      </c>
    </row>
    <row r="4478" spans="1:14" x14ac:dyDescent="0.25">
      <c r="A4478" t="s">
        <v>198</v>
      </c>
      <c r="B4478">
        <v>387</v>
      </c>
      <c r="C4478" t="s">
        <v>200</v>
      </c>
      <c r="D4478">
        <v>2632</v>
      </c>
      <c r="E4478" s="1">
        <v>6.8999999999999999E-3</v>
      </c>
      <c r="F4478" s="1">
        <v>0.74439999999999995</v>
      </c>
      <c r="G4478" s="1">
        <v>0.2487</v>
      </c>
    </row>
    <row r="4479" spans="1:14" x14ac:dyDescent="0.25">
      <c r="A4479" t="s">
        <v>198</v>
      </c>
      <c r="B4479">
        <v>256</v>
      </c>
      <c r="C4479" t="s">
        <v>201</v>
      </c>
      <c r="D4479">
        <v>2632</v>
      </c>
      <c r="E4479" s="1">
        <v>0.01</v>
      </c>
      <c r="F4479" s="1">
        <v>0.75609999999999999</v>
      </c>
      <c r="G4479" s="1">
        <v>0.2339</v>
      </c>
    </row>
    <row r="4480" spans="1:14" x14ac:dyDescent="0.25">
      <c r="A4480" t="s">
        <v>198</v>
      </c>
      <c r="B4480">
        <v>96</v>
      </c>
      <c r="C4480" t="s">
        <v>202</v>
      </c>
      <c r="D4480">
        <v>2632</v>
      </c>
      <c r="E4480" s="1">
        <v>1.0500000000000001E-2</v>
      </c>
      <c r="F4480" s="1">
        <v>0.80320000000000003</v>
      </c>
      <c r="G4480" s="1">
        <v>0.18629999999999999</v>
      </c>
    </row>
    <row r="4481" spans="1:8" x14ac:dyDescent="0.25">
      <c r="A4481" t="s">
        <v>203</v>
      </c>
      <c r="B4481">
        <v>529</v>
      </c>
      <c r="C4481" t="s">
        <v>199</v>
      </c>
      <c r="D4481">
        <v>2632</v>
      </c>
      <c r="E4481" s="1">
        <v>5.0000000000000001E-4</v>
      </c>
      <c r="F4481" s="1">
        <v>0.7409</v>
      </c>
      <c r="G4481" s="1">
        <v>0.2586</v>
      </c>
    </row>
    <row r="4482" spans="1:8" x14ac:dyDescent="0.25">
      <c r="A4482" t="s">
        <v>203</v>
      </c>
      <c r="B4482">
        <v>503</v>
      </c>
      <c r="C4482" t="s">
        <v>200</v>
      </c>
      <c r="D4482">
        <v>2632</v>
      </c>
      <c r="F4482" s="1">
        <v>0.62209999999999999</v>
      </c>
      <c r="G4482" s="1">
        <v>0.37790000000000001</v>
      </c>
    </row>
    <row r="4483" spans="1:8" x14ac:dyDescent="0.25">
      <c r="A4483" t="s">
        <v>203</v>
      </c>
      <c r="B4483">
        <v>321</v>
      </c>
      <c r="C4483" t="s">
        <v>201</v>
      </c>
      <c r="D4483">
        <v>2632</v>
      </c>
      <c r="E4483" s="1">
        <v>2.0000000000000001E-4</v>
      </c>
      <c r="F4483" s="1">
        <v>0.79930000000000001</v>
      </c>
      <c r="G4483" s="1">
        <v>0.20050000000000001</v>
      </c>
    </row>
    <row r="4484" spans="1:8" x14ac:dyDescent="0.25">
      <c r="A4484" t="s">
        <v>203</v>
      </c>
      <c r="B4484">
        <v>90</v>
      </c>
      <c r="C4484" t="s">
        <v>202</v>
      </c>
      <c r="D4484">
        <v>2632</v>
      </c>
      <c r="F4484" s="1">
        <v>0.76819999999999999</v>
      </c>
      <c r="G4484" s="1">
        <v>0.23180000000000001</v>
      </c>
    </row>
    <row r="4485" spans="1:8" x14ac:dyDescent="0.25">
      <c r="A4485" t="s">
        <v>204</v>
      </c>
      <c r="B4485">
        <v>2632</v>
      </c>
      <c r="C4485" t="s">
        <v>204</v>
      </c>
      <c r="D4485">
        <v>2632</v>
      </c>
      <c r="E4485" s="1">
        <v>3.0000000000000001E-3</v>
      </c>
      <c r="F4485" s="1">
        <v>0.74180000000000001</v>
      </c>
      <c r="G4485" s="1">
        <v>0.25519999999999998</v>
      </c>
    </row>
    <row r="4487" spans="1:8" x14ac:dyDescent="0.25">
      <c r="A4487" t="s">
        <v>988</v>
      </c>
    </row>
    <row r="4488" spans="1:8" x14ac:dyDescent="0.25">
      <c r="A4488" t="s">
        <v>190</v>
      </c>
      <c r="B4488" t="s">
        <v>206</v>
      </c>
      <c r="C4488" t="s">
        <v>195</v>
      </c>
      <c r="D4488" t="s">
        <v>189</v>
      </c>
      <c r="E4488" t="s">
        <v>196</v>
      </c>
      <c r="F4488" t="s">
        <v>220</v>
      </c>
      <c r="G4488" t="s">
        <v>207</v>
      </c>
      <c r="H4488" t="s">
        <v>208</v>
      </c>
    </row>
    <row r="4489" spans="1:8" x14ac:dyDescent="0.25">
      <c r="A4489" t="s">
        <v>198</v>
      </c>
      <c r="B4489" t="s">
        <v>228</v>
      </c>
      <c r="C4489">
        <v>33</v>
      </c>
      <c r="D4489" t="s">
        <v>197</v>
      </c>
      <c r="E4489">
        <v>2632</v>
      </c>
      <c r="G4489" s="1">
        <v>0.89149999999999996</v>
      </c>
      <c r="H4489" s="1">
        <v>0.1085</v>
      </c>
    </row>
    <row r="4490" spans="1:8" x14ac:dyDescent="0.25">
      <c r="A4490" t="s">
        <v>198</v>
      </c>
      <c r="B4490" t="s">
        <v>229</v>
      </c>
      <c r="C4490">
        <v>49</v>
      </c>
      <c r="D4490" t="s">
        <v>197</v>
      </c>
      <c r="E4490">
        <v>2632</v>
      </c>
      <c r="G4490" s="1">
        <v>0.90659999999999996</v>
      </c>
      <c r="H4490" s="1">
        <v>9.3399999999999997E-2</v>
      </c>
    </row>
    <row r="4491" spans="1:8" x14ac:dyDescent="0.25">
      <c r="A4491" t="s">
        <v>198</v>
      </c>
      <c r="B4491" t="s">
        <v>228</v>
      </c>
      <c r="C4491">
        <v>145</v>
      </c>
      <c r="D4491" t="s">
        <v>199</v>
      </c>
      <c r="E4491">
        <v>2632</v>
      </c>
      <c r="F4491" s="1">
        <v>1.7299999999999999E-2</v>
      </c>
      <c r="G4491" s="1">
        <v>0.77070000000000005</v>
      </c>
      <c r="H4491" s="1">
        <v>0.21199999999999999</v>
      </c>
    </row>
    <row r="4492" spans="1:8" x14ac:dyDescent="0.25">
      <c r="A4492" t="s">
        <v>198</v>
      </c>
      <c r="B4492" t="s">
        <v>229</v>
      </c>
      <c r="C4492">
        <v>213</v>
      </c>
      <c r="D4492" t="s">
        <v>199</v>
      </c>
      <c r="E4492">
        <v>2632</v>
      </c>
      <c r="G4492" s="1">
        <v>0.89529999999999998</v>
      </c>
      <c r="H4492" s="1">
        <v>0.1047</v>
      </c>
    </row>
    <row r="4493" spans="1:8" x14ac:dyDescent="0.25">
      <c r="A4493" t="s">
        <v>198</v>
      </c>
      <c r="B4493" t="s">
        <v>229</v>
      </c>
      <c r="C4493">
        <v>270</v>
      </c>
      <c r="D4493" t="s">
        <v>200</v>
      </c>
      <c r="E4493">
        <v>2632</v>
      </c>
      <c r="F4493" s="1">
        <v>9.1000000000000004E-3</v>
      </c>
      <c r="G4493" s="1">
        <v>0.74860000000000004</v>
      </c>
      <c r="H4493" s="1">
        <v>0.24229999999999999</v>
      </c>
    </row>
    <row r="4494" spans="1:8" x14ac:dyDescent="0.25">
      <c r="A4494" t="s">
        <v>198</v>
      </c>
      <c r="B4494" t="s">
        <v>228</v>
      </c>
      <c r="C4494">
        <v>112</v>
      </c>
      <c r="D4494" t="s">
        <v>200</v>
      </c>
      <c r="E4494">
        <v>2632</v>
      </c>
      <c r="G4494" s="1">
        <v>0.72240000000000004</v>
      </c>
      <c r="H4494" s="1">
        <v>0.27760000000000001</v>
      </c>
    </row>
    <row r="4495" spans="1:8" x14ac:dyDescent="0.25">
      <c r="A4495" t="s">
        <v>198</v>
      </c>
      <c r="B4495" t="s">
        <v>228</v>
      </c>
      <c r="C4495">
        <v>95</v>
      </c>
      <c r="D4495" t="s">
        <v>201</v>
      </c>
      <c r="E4495">
        <v>2632</v>
      </c>
      <c r="G4495" s="1">
        <v>0.7218</v>
      </c>
      <c r="H4495" s="1">
        <v>0.2782</v>
      </c>
    </row>
    <row r="4496" spans="1:8" x14ac:dyDescent="0.25">
      <c r="A4496" t="s">
        <v>198</v>
      </c>
      <c r="B4496" t="s">
        <v>229</v>
      </c>
      <c r="C4496">
        <v>155</v>
      </c>
      <c r="D4496" t="s">
        <v>201</v>
      </c>
      <c r="E4496">
        <v>2632</v>
      </c>
      <c r="F4496" s="1">
        <v>1.29E-2</v>
      </c>
      <c r="G4496" s="1">
        <v>0.76300000000000001</v>
      </c>
      <c r="H4496" s="1">
        <v>0.22409999999999999</v>
      </c>
    </row>
    <row r="4497" spans="1:8" s="29" customFormat="1" x14ac:dyDescent="0.25">
      <c r="A4497" s="29" t="s">
        <v>198</v>
      </c>
      <c r="B4497" s="29" t="s">
        <v>228</v>
      </c>
      <c r="C4497" s="29">
        <v>28</v>
      </c>
      <c r="D4497" s="29" t="s">
        <v>202</v>
      </c>
      <c r="E4497" s="29">
        <v>2632</v>
      </c>
      <c r="G4497" s="30">
        <v>0.67630000000000001</v>
      </c>
      <c r="H4497" s="30">
        <v>0.32369999999999999</v>
      </c>
    </row>
    <row r="4498" spans="1:8" x14ac:dyDescent="0.25">
      <c r="A4498" t="s">
        <v>198</v>
      </c>
      <c r="B4498" t="s">
        <v>229</v>
      </c>
      <c r="C4498">
        <v>68</v>
      </c>
      <c r="D4498" t="s">
        <v>202</v>
      </c>
      <c r="E4498">
        <v>2632</v>
      </c>
      <c r="F4498" s="1">
        <v>1.38E-2</v>
      </c>
      <c r="G4498" s="1">
        <v>0.84250000000000003</v>
      </c>
      <c r="H4498" s="1">
        <v>0.14369999999999999</v>
      </c>
    </row>
    <row r="4499" spans="1:8" x14ac:dyDescent="0.25">
      <c r="A4499" t="s">
        <v>203</v>
      </c>
      <c r="B4499" t="s">
        <v>229</v>
      </c>
      <c r="C4499">
        <v>369</v>
      </c>
      <c r="D4499" t="s">
        <v>199</v>
      </c>
      <c r="E4499">
        <v>2632</v>
      </c>
      <c r="F4499" s="1">
        <v>5.9999999999999995E-4</v>
      </c>
      <c r="G4499" s="1">
        <v>0.74739999999999995</v>
      </c>
      <c r="H4499" s="1">
        <v>0.25190000000000001</v>
      </c>
    </row>
    <row r="4500" spans="1:8" x14ac:dyDescent="0.25">
      <c r="A4500" t="s">
        <v>203</v>
      </c>
      <c r="B4500" t="s">
        <v>228</v>
      </c>
      <c r="C4500">
        <v>150</v>
      </c>
      <c r="D4500" t="s">
        <v>199</v>
      </c>
      <c r="E4500">
        <v>2632</v>
      </c>
      <c r="G4500" s="1">
        <v>0.69220000000000004</v>
      </c>
      <c r="H4500" s="1">
        <v>0.30780000000000002</v>
      </c>
    </row>
    <row r="4501" spans="1:8" x14ac:dyDescent="0.25">
      <c r="A4501" t="s">
        <v>203</v>
      </c>
      <c r="B4501" t="s">
        <v>229</v>
      </c>
      <c r="C4501">
        <v>347</v>
      </c>
      <c r="D4501" t="s">
        <v>200</v>
      </c>
      <c r="E4501">
        <v>2632</v>
      </c>
      <c r="G4501" s="1">
        <v>0.62549999999999994</v>
      </c>
      <c r="H4501" s="1">
        <v>0.3745</v>
      </c>
    </row>
    <row r="4502" spans="1:8" x14ac:dyDescent="0.25">
      <c r="A4502" t="s">
        <v>203</v>
      </c>
      <c r="B4502" t="s">
        <v>228</v>
      </c>
      <c r="C4502">
        <v>155</v>
      </c>
      <c r="D4502" t="s">
        <v>200</v>
      </c>
      <c r="E4502">
        <v>2632</v>
      </c>
      <c r="G4502" s="1">
        <v>0.60799999999999998</v>
      </c>
      <c r="H4502" s="1">
        <v>0.39200000000000002</v>
      </c>
    </row>
    <row r="4503" spans="1:8" x14ac:dyDescent="0.25">
      <c r="A4503" t="s">
        <v>203</v>
      </c>
      <c r="B4503" t="s">
        <v>229</v>
      </c>
      <c r="C4503">
        <v>137</v>
      </c>
      <c r="D4503" t="s">
        <v>201</v>
      </c>
      <c r="E4503">
        <v>2632</v>
      </c>
      <c r="G4503" s="1">
        <v>0.84540000000000004</v>
      </c>
      <c r="H4503" s="1">
        <v>0.15459999999999999</v>
      </c>
    </row>
    <row r="4504" spans="1:8" x14ac:dyDescent="0.25">
      <c r="A4504" t="s">
        <v>203</v>
      </c>
      <c r="B4504" t="s">
        <v>228</v>
      </c>
      <c r="C4504">
        <v>177</v>
      </c>
      <c r="D4504" t="s">
        <v>201</v>
      </c>
      <c r="E4504">
        <v>2632</v>
      </c>
      <c r="F4504" s="1">
        <v>8.0000000000000004E-4</v>
      </c>
      <c r="G4504" s="1">
        <v>0.65800000000000003</v>
      </c>
      <c r="H4504" s="1">
        <v>0.3412</v>
      </c>
    </row>
    <row r="4505" spans="1:8" x14ac:dyDescent="0.25">
      <c r="A4505" t="s">
        <v>203</v>
      </c>
      <c r="B4505" t="s">
        <v>228</v>
      </c>
      <c r="C4505">
        <v>34</v>
      </c>
      <c r="D4505" t="s">
        <v>202</v>
      </c>
      <c r="E4505">
        <v>2632</v>
      </c>
      <c r="G4505" s="1">
        <v>0.50049999999999994</v>
      </c>
      <c r="H4505" s="1">
        <v>0.4995</v>
      </c>
    </row>
    <row r="4506" spans="1:8" x14ac:dyDescent="0.25">
      <c r="A4506" t="s">
        <v>203</v>
      </c>
      <c r="B4506" t="s">
        <v>229</v>
      </c>
      <c r="C4506">
        <v>56</v>
      </c>
      <c r="D4506" t="s">
        <v>202</v>
      </c>
      <c r="E4506">
        <v>2632</v>
      </c>
      <c r="G4506" s="1">
        <v>0.87370000000000003</v>
      </c>
      <c r="H4506" s="1">
        <v>0.1263</v>
      </c>
    </row>
    <row r="4507" spans="1:8" x14ac:dyDescent="0.25">
      <c r="A4507" t="s">
        <v>204</v>
      </c>
      <c r="B4507" t="s">
        <v>204</v>
      </c>
      <c r="C4507">
        <v>2632</v>
      </c>
      <c r="D4507" t="s">
        <v>204</v>
      </c>
      <c r="E4507">
        <v>2632</v>
      </c>
      <c r="F4507" s="1">
        <v>3.0000000000000001E-3</v>
      </c>
      <c r="G4507" s="1">
        <v>0.74180000000000001</v>
      </c>
      <c r="H4507" s="1">
        <v>0.25519999999999998</v>
      </c>
    </row>
    <row r="4509" spans="1:8" x14ac:dyDescent="0.25">
      <c r="A4509" t="s">
        <v>989</v>
      </c>
    </row>
    <row r="4510" spans="1:8" x14ac:dyDescent="0.25">
      <c r="A4510" t="s">
        <v>190</v>
      </c>
      <c r="B4510" t="s">
        <v>206</v>
      </c>
      <c r="C4510" t="s">
        <v>195</v>
      </c>
      <c r="D4510" t="s">
        <v>189</v>
      </c>
      <c r="E4510" t="s">
        <v>196</v>
      </c>
      <c r="F4510" t="s">
        <v>220</v>
      </c>
      <c r="G4510" t="s">
        <v>207</v>
      </c>
      <c r="H4510" t="s">
        <v>208</v>
      </c>
    </row>
    <row r="4511" spans="1:8" x14ac:dyDescent="0.25">
      <c r="A4511" t="s">
        <v>198</v>
      </c>
      <c r="B4511" t="s">
        <v>348</v>
      </c>
      <c r="C4511">
        <v>79</v>
      </c>
      <c r="D4511" t="s">
        <v>197</v>
      </c>
      <c r="E4511">
        <v>2632</v>
      </c>
      <c r="G4511" s="1">
        <v>0.90810000000000002</v>
      </c>
      <c r="H4511" s="1">
        <v>9.1899999999999996E-2</v>
      </c>
    </row>
    <row r="4512" spans="1:8" s="29" customFormat="1" x14ac:dyDescent="0.25">
      <c r="A4512" s="29" t="s">
        <v>198</v>
      </c>
      <c r="B4512" s="29" t="s">
        <v>349</v>
      </c>
      <c r="C4512" s="29">
        <v>3</v>
      </c>
      <c r="D4512" s="29" t="s">
        <v>197</v>
      </c>
      <c r="E4512" s="29">
        <v>2632</v>
      </c>
      <c r="G4512" s="30">
        <v>0.66669999999999996</v>
      </c>
      <c r="H4512" s="30">
        <v>0.33329999999999999</v>
      </c>
    </row>
    <row r="4513" spans="1:8" x14ac:dyDescent="0.25">
      <c r="A4513" t="s">
        <v>198</v>
      </c>
      <c r="B4513" t="s">
        <v>348</v>
      </c>
      <c r="C4513">
        <v>54</v>
      </c>
      <c r="D4513" t="s">
        <v>199</v>
      </c>
      <c r="E4513">
        <v>2632</v>
      </c>
      <c r="F4513" s="1">
        <v>1.44E-2</v>
      </c>
      <c r="G4513" s="1">
        <v>0.84030000000000005</v>
      </c>
      <c r="H4513" s="1">
        <v>0.14530000000000001</v>
      </c>
    </row>
    <row r="4514" spans="1:8" x14ac:dyDescent="0.25">
      <c r="A4514" t="s">
        <v>198</v>
      </c>
      <c r="B4514" t="s">
        <v>349</v>
      </c>
      <c r="C4514">
        <v>111</v>
      </c>
      <c r="D4514" t="s">
        <v>199</v>
      </c>
      <c r="E4514">
        <v>2632</v>
      </c>
      <c r="F4514" s="1">
        <v>6.9999999999999999E-4</v>
      </c>
      <c r="G4514" s="1">
        <v>0.84560000000000002</v>
      </c>
      <c r="H4514" s="1">
        <v>0.1537</v>
      </c>
    </row>
    <row r="4515" spans="1:8" x14ac:dyDescent="0.25">
      <c r="A4515" t="s">
        <v>198</v>
      </c>
      <c r="B4515" t="s">
        <v>350</v>
      </c>
      <c r="C4515">
        <v>193</v>
      </c>
      <c r="D4515" t="s">
        <v>199</v>
      </c>
      <c r="E4515">
        <v>2632</v>
      </c>
      <c r="F4515" s="1">
        <v>5.3E-3</v>
      </c>
      <c r="G4515" s="1">
        <v>0.89019999999999999</v>
      </c>
      <c r="H4515" s="1">
        <v>0.1045</v>
      </c>
    </row>
    <row r="4516" spans="1:8" x14ac:dyDescent="0.25">
      <c r="A4516" t="s">
        <v>198</v>
      </c>
      <c r="B4516" t="s">
        <v>350</v>
      </c>
      <c r="C4516">
        <v>78</v>
      </c>
      <c r="D4516" t="s">
        <v>200</v>
      </c>
      <c r="E4516">
        <v>2632</v>
      </c>
      <c r="F4516" s="1">
        <v>3.3500000000000002E-2</v>
      </c>
      <c r="G4516" s="1">
        <v>0.76390000000000002</v>
      </c>
      <c r="H4516" s="1">
        <v>0.2026</v>
      </c>
    </row>
    <row r="4517" spans="1:8" x14ac:dyDescent="0.25">
      <c r="A4517" t="s">
        <v>198</v>
      </c>
      <c r="B4517" t="s">
        <v>348</v>
      </c>
      <c r="C4517">
        <v>242</v>
      </c>
      <c r="D4517" t="s">
        <v>200</v>
      </c>
      <c r="E4517">
        <v>2632</v>
      </c>
      <c r="F4517" s="1">
        <v>5.3E-3</v>
      </c>
      <c r="G4517" s="1">
        <v>0.73409999999999997</v>
      </c>
      <c r="H4517" s="1">
        <v>0.2606</v>
      </c>
    </row>
    <row r="4518" spans="1:8" x14ac:dyDescent="0.25">
      <c r="A4518" t="s">
        <v>198</v>
      </c>
      <c r="B4518" t="s">
        <v>349</v>
      </c>
      <c r="C4518">
        <v>62</v>
      </c>
      <c r="D4518" t="s">
        <v>200</v>
      </c>
      <c r="E4518">
        <v>2632</v>
      </c>
      <c r="G4518" s="1">
        <v>0.84240000000000004</v>
      </c>
      <c r="H4518" s="1">
        <v>0.15759999999999999</v>
      </c>
    </row>
    <row r="4519" spans="1:8" x14ac:dyDescent="0.25">
      <c r="A4519" t="s">
        <v>198</v>
      </c>
      <c r="B4519" t="s">
        <v>349</v>
      </c>
      <c r="C4519">
        <v>125</v>
      </c>
      <c r="D4519" t="s">
        <v>201</v>
      </c>
      <c r="E4519">
        <v>2632</v>
      </c>
      <c r="F4519" s="1">
        <v>1.3599999999999999E-2</v>
      </c>
      <c r="G4519" s="1">
        <v>0.75990000000000002</v>
      </c>
      <c r="H4519" s="1">
        <v>0.22650000000000001</v>
      </c>
    </row>
    <row r="4520" spans="1:8" x14ac:dyDescent="0.25">
      <c r="A4520" t="s">
        <v>198</v>
      </c>
      <c r="B4520" t="s">
        <v>350</v>
      </c>
      <c r="C4520">
        <v>63</v>
      </c>
      <c r="D4520" t="s">
        <v>201</v>
      </c>
      <c r="E4520">
        <v>2632</v>
      </c>
      <c r="F4520" s="1">
        <v>1.47E-2</v>
      </c>
      <c r="G4520" s="1">
        <v>0.71630000000000005</v>
      </c>
      <c r="H4520" s="1">
        <v>0.26900000000000002</v>
      </c>
    </row>
    <row r="4521" spans="1:8" x14ac:dyDescent="0.25">
      <c r="A4521" t="s">
        <v>198</v>
      </c>
      <c r="B4521" t="s">
        <v>348</v>
      </c>
      <c r="C4521">
        <v>62</v>
      </c>
      <c r="D4521" t="s">
        <v>201</v>
      </c>
      <c r="E4521">
        <v>2632</v>
      </c>
      <c r="G4521" s="1">
        <v>0.74570000000000003</v>
      </c>
      <c r="H4521" s="1">
        <v>0.25430000000000003</v>
      </c>
    </row>
    <row r="4522" spans="1:8" x14ac:dyDescent="0.25">
      <c r="A4522" t="s">
        <v>198</v>
      </c>
      <c r="B4522" t="s">
        <v>348</v>
      </c>
      <c r="C4522">
        <v>96</v>
      </c>
      <c r="D4522" t="s">
        <v>202</v>
      </c>
      <c r="E4522">
        <v>2632</v>
      </c>
      <c r="F4522" s="1">
        <v>1.0500000000000001E-2</v>
      </c>
      <c r="G4522" s="1">
        <v>0.80320000000000003</v>
      </c>
      <c r="H4522" s="1">
        <v>0.18629999999999999</v>
      </c>
    </row>
    <row r="4523" spans="1:8" x14ac:dyDescent="0.25">
      <c r="A4523" t="s">
        <v>203</v>
      </c>
      <c r="B4523" t="s">
        <v>349</v>
      </c>
      <c r="C4523">
        <v>171</v>
      </c>
      <c r="D4523" t="s">
        <v>199</v>
      </c>
      <c r="E4523">
        <v>2632</v>
      </c>
      <c r="F4523" s="1">
        <v>1.6999999999999999E-3</v>
      </c>
      <c r="G4523" s="1">
        <v>0.72699999999999998</v>
      </c>
      <c r="H4523" s="1">
        <v>0.27129999999999999</v>
      </c>
    </row>
    <row r="4524" spans="1:8" x14ac:dyDescent="0.25">
      <c r="A4524" t="s">
        <v>203</v>
      </c>
      <c r="B4524" t="s">
        <v>348</v>
      </c>
      <c r="C4524">
        <v>42</v>
      </c>
      <c r="D4524" t="s">
        <v>199</v>
      </c>
      <c r="E4524">
        <v>2632</v>
      </c>
      <c r="G4524" s="1">
        <v>0.90349999999999997</v>
      </c>
      <c r="H4524" s="1">
        <v>9.6500000000000002E-2</v>
      </c>
    </row>
    <row r="4525" spans="1:8" x14ac:dyDescent="0.25">
      <c r="A4525" t="s">
        <v>203</v>
      </c>
      <c r="B4525" t="s">
        <v>350</v>
      </c>
      <c r="C4525">
        <v>306</v>
      </c>
      <c r="D4525" t="s">
        <v>199</v>
      </c>
      <c r="E4525">
        <v>2632</v>
      </c>
      <c r="G4525" s="1">
        <v>0.73839999999999995</v>
      </c>
      <c r="H4525" s="1">
        <v>0.2616</v>
      </c>
    </row>
    <row r="4526" spans="1:8" x14ac:dyDescent="0.25">
      <c r="A4526" t="s">
        <v>203</v>
      </c>
      <c r="B4526" t="s">
        <v>348</v>
      </c>
      <c r="C4526">
        <v>300</v>
      </c>
      <c r="D4526" t="s">
        <v>200</v>
      </c>
      <c r="E4526">
        <v>2632</v>
      </c>
      <c r="G4526" s="1">
        <v>0.59850000000000003</v>
      </c>
      <c r="H4526" s="1">
        <v>0.40150000000000002</v>
      </c>
    </row>
    <row r="4527" spans="1:8" x14ac:dyDescent="0.25">
      <c r="A4527" t="s">
        <v>203</v>
      </c>
      <c r="B4527" t="s">
        <v>349</v>
      </c>
      <c r="C4527">
        <v>108</v>
      </c>
      <c r="D4527" t="s">
        <v>200</v>
      </c>
      <c r="E4527">
        <v>2632</v>
      </c>
      <c r="G4527" s="1">
        <v>0.86599999999999999</v>
      </c>
      <c r="H4527" s="1">
        <v>0.13400000000000001</v>
      </c>
    </row>
    <row r="4528" spans="1:8" x14ac:dyDescent="0.25">
      <c r="A4528" t="s">
        <v>203</v>
      </c>
      <c r="B4528" t="s">
        <v>350</v>
      </c>
      <c r="C4528">
        <v>94</v>
      </c>
      <c r="D4528" t="s">
        <v>200</v>
      </c>
      <c r="E4528">
        <v>2632</v>
      </c>
      <c r="G4528" s="1">
        <v>0.66559999999999997</v>
      </c>
      <c r="H4528" s="1">
        <v>0.33439999999999998</v>
      </c>
    </row>
    <row r="4529" spans="1:9" x14ac:dyDescent="0.25">
      <c r="A4529" t="s">
        <v>203</v>
      </c>
      <c r="B4529" t="s">
        <v>348</v>
      </c>
      <c r="C4529">
        <v>62</v>
      </c>
      <c r="D4529" t="s">
        <v>201</v>
      </c>
      <c r="E4529">
        <v>2632</v>
      </c>
      <c r="G4529" s="1">
        <v>0.76470000000000005</v>
      </c>
      <c r="H4529" s="1">
        <v>0.23530000000000001</v>
      </c>
    </row>
    <row r="4530" spans="1:9" x14ac:dyDescent="0.25">
      <c r="A4530" t="s">
        <v>203</v>
      </c>
      <c r="B4530" t="s">
        <v>349</v>
      </c>
      <c r="C4530">
        <v>147</v>
      </c>
      <c r="D4530" t="s">
        <v>201</v>
      </c>
      <c r="E4530">
        <v>2632</v>
      </c>
      <c r="G4530" s="1">
        <v>0.82589999999999997</v>
      </c>
      <c r="H4530" s="1">
        <v>0.1741</v>
      </c>
    </row>
    <row r="4531" spans="1:9" x14ac:dyDescent="0.25">
      <c r="A4531" t="s">
        <v>203</v>
      </c>
      <c r="B4531" t="s">
        <v>350</v>
      </c>
      <c r="C4531">
        <v>105</v>
      </c>
      <c r="D4531" t="s">
        <v>201</v>
      </c>
      <c r="E4531">
        <v>2632</v>
      </c>
      <c r="F4531" s="1">
        <v>2.8E-3</v>
      </c>
      <c r="G4531" s="1">
        <v>0.56640000000000001</v>
      </c>
      <c r="H4531" s="1">
        <v>0.43090000000000001</v>
      </c>
    </row>
    <row r="4532" spans="1:9" x14ac:dyDescent="0.25">
      <c r="A4532" t="s">
        <v>203</v>
      </c>
      <c r="B4532" t="s">
        <v>348</v>
      </c>
      <c r="C4532">
        <v>90</v>
      </c>
      <c r="D4532" t="s">
        <v>202</v>
      </c>
      <c r="E4532">
        <v>2632</v>
      </c>
      <c r="G4532" s="1">
        <v>0.76819999999999999</v>
      </c>
      <c r="H4532" s="1">
        <v>0.23180000000000001</v>
      </c>
    </row>
    <row r="4533" spans="1:9" x14ac:dyDescent="0.25">
      <c r="A4533" t="s">
        <v>204</v>
      </c>
      <c r="B4533" t="s">
        <v>204</v>
      </c>
      <c r="C4533">
        <v>2632</v>
      </c>
      <c r="D4533" t="s">
        <v>204</v>
      </c>
      <c r="E4533">
        <v>2632</v>
      </c>
      <c r="F4533" s="1">
        <v>3.0000000000000001E-3</v>
      </c>
      <c r="G4533" s="1">
        <v>0.74180000000000001</v>
      </c>
      <c r="H4533" s="1">
        <v>0.25519999999999998</v>
      </c>
    </row>
    <row r="4535" spans="1:9" x14ac:dyDescent="0.25">
      <c r="A4535" t="s">
        <v>990</v>
      </c>
    </row>
    <row r="4536" spans="1:9" x14ac:dyDescent="0.25">
      <c r="A4536" t="s">
        <v>190</v>
      </c>
      <c r="B4536" t="s">
        <v>195</v>
      </c>
      <c r="C4536" t="s">
        <v>189</v>
      </c>
      <c r="D4536" t="s">
        <v>196</v>
      </c>
      <c r="E4536" t="s">
        <v>991</v>
      </c>
      <c r="F4536" t="s">
        <v>220</v>
      </c>
      <c r="G4536" t="s">
        <v>992</v>
      </c>
      <c r="H4536" t="s">
        <v>993</v>
      </c>
      <c r="I4536" t="s">
        <v>994</v>
      </c>
    </row>
    <row r="4537" spans="1:9" x14ac:dyDescent="0.25">
      <c r="A4537" t="s">
        <v>198</v>
      </c>
      <c r="B4537">
        <v>82</v>
      </c>
      <c r="C4537" t="s">
        <v>197</v>
      </c>
      <c r="D4537">
        <v>2633</v>
      </c>
      <c r="E4537" s="1">
        <v>0.37919999999999998</v>
      </c>
      <c r="F4537" s="1">
        <v>4.9500000000000002E-2</v>
      </c>
      <c r="G4537" s="1">
        <v>3.2300000000000002E-2</v>
      </c>
      <c r="H4537" s="1">
        <v>0.45639999999999997</v>
      </c>
      <c r="I4537" s="1">
        <v>8.2600000000000007E-2</v>
      </c>
    </row>
    <row r="4538" spans="1:9" x14ac:dyDescent="0.25">
      <c r="A4538" t="s">
        <v>198</v>
      </c>
      <c r="B4538">
        <v>368</v>
      </c>
      <c r="C4538" t="s">
        <v>199</v>
      </c>
      <c r="D4538">
        <v>2633</v>
      </c>
      <c r="E4538" s="1">
        <v>0.45019999999999999</v>
      </c>
      <c r="F4538" s="1">
        <v>2.3099999999999999E-2</v>
      </c>
      <c r="G4538" s="1">
        <v>5.9900000000000002E-2</v>
      </c>
      <c r="H4538" s="1">
        <v>0.3952</v>
      </c>
      <c r="I4538" s="1">
        <v>7.1599999999999997E-2</v>
      </c>
    </row>
    <row r="4539" spans="1:9" x14ac:dyDescent="0.25">
      <c r="A4539" t="s">
        <v>198</v>
      </c>
      <c r="B4539">
        <v>387</v>
      </c>
      <c r="C4539" t="s">
        <v>200</v>
      </c>
      <c r="D4539">
        <v>2633</v>
      </c>
      <c r="E4539" s="1">
        <v>0.42520000000000002</v>
      </c>
      <c r="F4539" s="1">
        <v>1.89E-2</v>
      </c>
      <c r="G4539" s="1">
        <v>1.1299999999999999E-2</v>
      </c>
      <c r="H4539" s="1">
        <v>0.44379999999999997</v>
      </c>
      <c r="I4539" s="1">
        <v>0.1009</v>
      </c>
    </row>
    <row r="4540" spans="1:9" x14ac:dyDescent="0.25">
      <c r="A4540" t="s">
        <v>198</v>
      </c>
      <c r="B4540">
        <v>256</v>
      </c>
      <c r="C4540" t="s">
        <v>201</v>
      </c>
      <c r="D4540">
        <v>2633</v>
      </c>
      <c r="E4540" s="1">
        <v>0.32679999999999998</v>
      </c>
      <c r="F4540" s="1">
        <v>2.1899999999999999E-2</v>
      </c>
      <c r="G4540" s="1">
        <v>2.4E-2</v>
      </c>
      <c r="H4540" s="1">
        <v>0.4768</v>
      </c>
      <c r="I4540" s="1">
        <v>0.15049999999999999</v>
      </c>
    </row>
    <row r="4541" spans="1:9" x14ac:dyDescent="0.25">
      <c r="A4541" t="s">
        <v>198</v>
      </c>
      <c r="B4541">
        <v>96</v>
      </c>
      <c r="C4541" t="s">
        <v>202</v>
      </c>
      <c r="D4541">
        <v>2633</v>
      </c>
      <c r="E4541" s="1">
        <v>0.41860000000000003</v>
      </c>
      <c r="F4541" s="1">
        <v>2.29E-2</v>
      </c>
      <c r="G4541" s="1">
        <v>3.7699999999999997E-2</v>
      </c>
      <c r="H4541" s="1">
        <v>0.42809999999999998</v>
      </c>
      <c r="I4541" s="1">
        <v>9.2700000000000005E-2</v>
      </c>
    </row>
    <row r="4542" spans="1:9" x14ac:dyDescent="0.25">
      <c r="A4542" t="s">
        <v>203</v>
      </c>
      <c r="B4542">
        <v>530</v>
      </c>
      <c r="C4542" t="s">
        <v>199</v>
      </c>
      <c r="D4542">
        <v>2633</v>
      </c>
      <c r="E4542" s="1">
        <v>0.48199999999999998</v>
      </c>
      <c r="F4542" s="1">
        <v>2.2000000000000001E-3</v>
      </c>
      <c r="G4542" s="1">
        <v>3.7699999999999997E-2</v>
      </c>
      <c r="H4542" s="1">
        <v>0.40939999999999999</v>
      </c>
      <c r="I4542" s="1">
        <v>6.8599999999999994E-2</v>
      </c>
    </row>
    <row r="4543" spans="1:9" x14ac:dyDescent="0.25">
      <c r="A4543" t="s">
        <v>203</v>
      </c>
      <c r="B4543">
        <v>503</v>
      </c>
      <c r="C4543" t="s">
        <v>200</v>
      </c>
      <c r="D4543">
        <v>2633</v>
      </c>
      <c r="E4543" s="1">
        <v>0.3967</v>
      </c>
      <c r="F4543" s="1">
        <v>9.2999999999999992E-3</v>
      </c>
      <c r="G4543" s="1">
        <v>2.2800000000000001E-2</v>
      </c>
      <c r="H4543" s="1">
        <v>0.46439999999999998</v>
      </c>
      <c r="I4543" s="1">
        <v>0.10680000000000001</v>
      </c>
    </row>
    <row r="4544" spans="1:9" x14ac:dyDescent="0.25">
      <c r="A4544" t="s">
        <v>203</v>
      </c>
      <c r="B4544">
        <v>321</v>
      </c>
      <c r="C4544" t="s">
        <v>201</v>
      </c>
      <c r="D4544">
        <v>2633</v>
      </c>
      <c r="E4544" s="1">
        <v>0.54290000000000005</v>
      </c>
      <c r="F4544" s="1">
        <v>1.4E-3</v>
      </c>
      <c r="G4544" s="1">
        <v>3.8399999999999997E-2</v>
      </c>
      <c r="H4544" s="1">
        <v>0.32819999999999999</v>
      </c>
      <c r="I4544" s="1">
        <v>8.9099999999999999E-2</v>
      </c>
    </row>
    <row r="4545" spans="1:10" x14ac:dyDescent="0.25">
      <c r="A4545" t="s">
        <v>203</v>
      </c>
      <c r="B4545">
        <v>90</v>
      </c>
      <c r="C4545" t="s">
        <v>202</v>
      </c>
      <c r="D4545">
        <v>2633</v>
      </c>
      <c r="E4545" s="1">
        <v>0.65690000000000004</v>
      </c>
      <c r="G4545" s="1">
        <v>2.7E-2</v>
      </c>
      <c r="H4545" s="1">
        <v>0.26989999999999997</v>
      </c>
      <c r="I4545" s="1">
        <v>4.6199999999999998E-2</v>
      </c>
    </row>
    <row r="4546" spans="1:10" x14ac:dyDescent="0.25">
      <c r="A4546" t="s">
        <v>204</v>
      </c>
      <c r="B4546">
        <v>2633</v>
      </c>
      <c r="C4546" t="s">
        <v>204</v>
      </c>
      <c r="D4546">
        <v>2633</v>
      </c>
      <c r="E4546" s="1">
        <v>0.43690000000000001</v>
      </c>
      <c r="F4546" s="1">
        <v>1.49E-2</v>
      </c>
      <c r="G4546" s="1">
        <v>3.1099999999999999E-2</v>
      </c>
      <c r="H4546" s="1">
        <v>0.4254</v>
      </c>
      <c r="I4546" s="1">
        <v>9.1700000000000004E-2</v>
      </c>
    </row>
    <row r="4548" spans="1:10" x14ac:dyDescent="0.25">
      <c r="A4548" t="s">
        <v>995</v>
      </c>
    </row>
    <row r="4549" spans="1:10" x14ac:dyDescent="0.25">
      <c r="A4549" t="s">
        <v>190</v>
      </c>
      <c r="B4549" t="s">
        <v>206</v>
      </c>
      <c r="C4549" t="s">
        <v>195</v>
      </c>
      <c r="D4549" t="s">
        <v>189</v>
      </c>
      <c r="E4549" t="s">
        <v>196</v>
      </c>
      <c r="F4549" t="s">
        <v>991</v>
      </c>
      <c r="G4549" t="s">
        <v>220</v>
      </c>
      <c r="H4549" t="s">
        <v>992</v>
      </c>
      <c r="I4549" t="s">
        <v>993</v>
      </c>
      <c r="J4549" t="s">
        <v>994</v>
      </c>
    </row>
    <row r="4550" spans="1:10" x14ac:dyDescent="0.25">
      <c r="A4550" t="s">
        <v>198</v>
      </c>
      <c r="B4550" t="s">
        <v>228</v>
      </c>
      <c r="C4550">
        <v>33</v>
      </c>
      <c r="D4550" t="s">
        <v>197</v>
      </c>
      <c r="E4550">
        <v>2633</v>
      </c>
      <c r="F4550" s="1">
        <v>0.35620000000000002</v>
      </c>
      <c r="G4550" s="1">
        <v>6.5500000000000003E-2</v>
      </c>
      <c r="H4550" s="1">
        <v>5.74E-2</v>
      </c>
      <c r="I4550" s="1">
        <v>0.45250000000000001</v>
      </c>
      <c r="J4550" s="1">
        <v>6.8400000000000002E-2</v>
      </c>
    </row>
    <row r="4551" spans="1:10" x14ac:dyDescent="0.25">
      <c r="A4551" t="s">
        <v>198</v>
      </c>
      <c r="B4551" t="s">
        <v>229</v>
      </c>
      <c r="C4551">
        <v>49</v>
      </c>
      <c r="D4551" t="s">
        <v>197</v>
      </c>
      <c r="E4551">
        <v>2633</v>
      </c>
      <c r="F4551" s="1">
        <v>0.39660000000000001</v>
      </c>
      <c r="G4551" s="1">
        <v>3.7400000000000003E-2</v>
      </c>
      <c r="H4551" s="1">
        <v>1.32E-2</v>
      </c>
      <c r="I4551" s="1">
        <v>0.45939999999999998</v>
      </c>
      <c r="J4551" s="1">
        <v>9.3399999999999997E-2</v>
      </c>
    </row>
    <row r="4552" spans="1:10" x14ac:dyDescent="0.25">
      <c r="A4552" t="s">
        <v>198</v>
      </c>
      <c r="B4552" t="s">
        <v>228</v>
      </c>
      <c r="C4552">
        <v>145</v>
      </c>
      <c r="D4552" t="s">
        <v>199</v>
      </c>
      <c r="E4552">
        <v>2633</v>
      </c>
      <c r="F4552" s="1">
        <v>0.42249999999999999</v>
      </c>
      <c r="G4552" s="1">
        <v>2.0899999999999998E-2</v>
      </c>
      <c r="H4552" s="1">
        <v>5.16E-2</v>
      </c>
      <c r="I4552" s="1">
        <v>0.41520000000000001</v>
      </c>
      <c r="J4552" s="1">
        <v>8.9899999999999994E-2</v>
      </c>
    </row>
    <row r="4553" spans="1:10" x14ac:dyDescent="0.25">
      <c r="A4553" t="s">
        <v>198</v>
      </c>
      <c r="B4553" t="s">
        <v>229</v>
      </c>
      <c r="C4553">
        <v>213</v>
      </c>
      <c r="D4553" t="s">
        <v>199</v>
      </c>
      <c r="E4553">
        <v>2633</v>
      </c>
      <c r="F4553" s="1">
        <v>0.4582</v>
      </c>
      <c r="G4553" s="1">
        <v>2.41E-2</v>
      </c>
      <c r="H4553" s="1">
        <v>6.3399999999999998E-2</v>
      </c>
      <c r="I4553" s="1">
        <v>0.39019999999999999</v>
      </c>
      <c r="J4553" s="1">
        <v>6.4199999999999993E-2</v>
      </c>
    </row>
    <row r="4554" spans="1:10" x14ac:dyDescent="0.25">
      <c r="A4554" t="s">
        <v>198</v>
      </c>
      <c r="B4554" t="s">
        <v>229</v>
      </c>
      <c r="C4554">
        <v>270</v>
      </c>
      <c r="D4554" t="s">
        <v>200</v>
      </c>
      <c r="E4554">
        <v>2633</v>
      </c>
      <c r="F4554" s="1">
        <v>0.44040000000000001</v>
      </c>
      <c r="G4554" s="1">
        <v>1.8200000000000001E-2</v>
      </c>
      <c r="H4554" s="1">
        <v>2.7000000000000001E-3</v>
      </c>
      <c r="I4554" s="1">
        <v>0.45450000000000002</v>
      </c>
      <c r="J4554" s="1">
        <v>8.4199999999999997E-2</v>
      </c>
    </row>
    <row r="4555" spans="1:10" x14ac:dyDescent="0.25">
      <c r="A4555" t="s">
        <v>198</v>
      </c>
      <c r="B4555" t="s">
        <v>228</v>
      </c>
      <c r="C4555">
        <v>112</v>
      </c>
      <c r="D4555" t="s">
        <v>200</v>
      </c>
      <c r="E4555">
        <v>2633</v>
      </c>
      <c r="F4555" s="1">
        <v>0.36730000000000002</v>
      </c>
      <c r="G4555" s="1">
        <v>2.1899999999999999E-2</v>
      </c>
      <c r="H4555" s="1">
        <v>3.9600000000000003E-2</v>
      </c>
      <c r="I4555" s="1">
        <v>0.4123</v>
      </c>
      <c r="J4555" s="1">
        <v>0.15890000000000001</v>
      </c>
    </row>
    <row r="4556" spans="1:10" x14ac:dyDescent="0.25">
      <c r="A4556" t="s">
        <v>198</v>
      </c>
      <c r="B4556" t="s">
        <v>228</v>
      </c>
      <c r="C4556">
        <v>95</v>
      </c>
      <c r="D4556" t="s">
        <v>201</v>
      </c>
      <c r="E4556">
        <v>2633</v>
      </c>
      <c r="F4556" s="1">
        <v>0.35420000000000001</v>
      </c>
      <c r="G4556" s="1">
        <v>1.5100000000000001E-2</v>
      </c>
      <c r="H4556" s="1">
        <v>4.9299999999999997E-2</v>
      </c>
      <c r="I4556" s="1">
        <v>0.47160000000000002</v>
      </c>
      <c r="J4556" s="1">
        <v>0.10979999999999999</v>
      </c>
    </row>
    <row r="4557" spans="1:10" x14ac:dyDescent="0.25">
      <c r="A4557" t="s">
        <v>198</v>
      </c>
      <c r="B4557" t="s">
        <v>229</v>
      </c>
      <c r="C4557">
        <v>155</v>
      </c>
      <c r="D4557" t="s">
        <v>201</v>
      </c>
      <c r="E4557">
        <v>2633</v>
      </c>
      <c r="F4557" s="1">
        <v>0.3221</v>
      </c>
      <c r="G4557" s="1">
        <v>2.4E-2</v>
      </c>
      <c r="H4557" s="1">
        <v>1.7000000000000001E-2</v>
      </c>
      <c r="I4557" s="1">
        <v>0.47310000000000002</v>
      </c>
      <c r="J4557" s="1">
        <v>0.16370000000000001</v>
      </c>
    </row>
    <row r="4558" spans="1:10" s="29" customFormat="1" x14ac:dyDescent="0.25">
      <c r="A4558" s="29" t="s">
        <v>198</v>
      </c>
      <c r="B4558" s="29" t="s">
        <v>228</v>
      </c>
      <c r="C4558" s="29">
        <v>28</v>
      </c>
      <c r="D4558" s="29" t="s">
        <v>202</v>
      </c>
      <c r="E4558" s="29">
        <v>2633</v>
      </c>
      <c r="F4558" s="30">
        <v>0.44979999999999998</v>
      </c>
      <c r="G4558" s="30">
        <v>2.1499999999999998E-2</v>
      </c>
      <c r="H4558" s="30">
        <v>7.9000000000000001E-2</v>
      </c>
      <c r="I4558" s="30">
        <v>0.28129999999999999</v>
      </c>
      <c r="J4558" s="30">
        <v>0.16830000000000001</v>
      </c>
    </row>
    <row r="4559" spans="1:10" x14ac:dyDescent="0.25">
      <c r="A4559" t="s">
        <v>198</v>
      </c>
      <c r="B4559" t="s">
        <v>229</v>
      </c>
      <c r="C4559">
        <v>68</v>
      </c>
      <c r="D4559" t="s">
        <v>202</v>
      </c>
      <c r="E4559">
        <v>2633</v>
      </c>
      <c r="F4559" s="1">
        <v>0.40889999999999999</v>
      </c>
      <c r="G4559" s="1">
        <v>2.3300000000000001E-2</v>
      </c>
      <c r="H4559" s="1">
        <v>2.4899999999999999E-2</v>
      </c>
      <c r="I4559" s="1">
        <v>0.47349999999999998</v>
      </c>
      <c r="J4559" s="1">
        <v>6.93E-2</v>
      </c>
    </row>
    <row r="4560" spans="1:10" x14ac:dyDescent="0.25">
      <c r="A4560" t="s">
        <v>203</v>
      </c>
      <c r="B4560" t="s">
        <v>229</v>
      </c>
      <c r="C4560">
        <v>370</v>
      </c>
      <c r="D4560" t="s">
        <v>199</v>
      </c>
      <c r="E4560">
        <v>2633</v>
      </c>
      <c r="F4560" s="1">
        <v>0.49109999999999998</v>
      </c>
      <c r="G4560" s="1">
        <v>2.3E-3</v>
      </c>
      <c r="H4560" s="1">
        <v>3.6999999999999998E-2</v>
      </c>
      <c r="I4560" s="1">
        <v>0.40360000000000001</v>
      </c>
      <c r="J4560" s="1">
        <v>6.6100000000000006E-2</v>
      </c>
    </row>
    <row r="4561" spans="1:10" x14ac:dyDescent="0.25">
      <c r="A4561" t="s">
        <v>203</v>
      </c>
      <c r="B4561" t="s">
        <v>228</v>
      </c>
      <c r="C4561">
        <v>150</v>
      </c>
      <c r="D4561" t="s">
        <v>199</v>
      </c>
      <c r="E4561">
        <v>2633</v>
      </c>
      <c r="F4561" s="1">
        <v>0.40889999999999999</v>
      </c>
      <c r="G4561" s="1">
        <v>1.8E-3</v>
      </c>
      <c r="H4561" s="1">
        <v>4.5600000000000002E-2</v>
      </c>
      <c r="I4561" s="1">
        <v>0.4551</v>
      </c>
      <c r="J4561" s="1">
        <v>8.8599999999999998E-2</v>
      </c>
    </row>
    <row r="4562" spans="1:10" x14ac:dyDescent="0.25">
      <c r="A4562" t="s">
        <v>203</v>
      </c>
      <c r="B4562" t="s">
        <v>229</v>
      </c>
      <c r="C4562">
        <v>347</v>
      </c>
      <c r="D4562" t="s">
        <v>200</v>
      </c>
      <c r="E4562">
        <v>2633</v>
      </c>
      <c r="F4562" s="1">
        <v>0.40710000000000002</v>
      </c>
      <c r="G4562" s="1">
        <v>1.5E-3</v>
      </c>
      <c r="H4562" s="1">
        <v>1.46E-2</v>
      </c>
      <c r="I4562" s="1">
        <v>0.47749999999999998</v>
      </c>
      <c r="J4562" s="1">
        <v>9.9299999999999999E-2</v>
      </c>
    </row>
    <row r="4563" spans="1:10" x14ac:dyDescent="0.25">
      <c r="A4563" t="s">
        <v>203</v>
      </c>
      <c r="B4563" t="s">
        <v>228</v>
      </c>
      <c r="C4563">
        <v>155</v>
      </c>
      <c r="D4563" t="s">
        <v>200</v>
      </c>
      <c r="E4563">
        <v>2633</v>
      </c>
      <c r="F4563" s="1">
        <v>0.3528</v>
      </c>
      <c r="G4563" s="1">
        <v>4.1700000000000001E-2</v>
      </c>
      <c r="H4563" s="1">
        <v>5.7099999999999998E-2</v>
      </c>
      <c r="I4563" s="1">
        <v>0.41020000000000001</v>
      </c>
      <c r="J4563" s="1">
        <v>0.13819999999999999</v>
      </c>
    </row>
    <row r="4564" spans="1:10" x14ac:dyDescent="0.25">
      <c r="A4564" t="s">
        <v>203</v>
      </c>
      <c r="B4564" t="s">
        <v>229</v>
      </c>
      <c r="C4564">
        <v>137</v>
      </c>
      <c r="D4564" t="s">
        <v>201</v>
      </c>
      <c r="E4564">
        <v>2633</v>
      </c>
      <c r="F4564" s="1">
        <v>0.57999999999999996</v>
      </c>
      <c r="G4564" s="1">
        <v>1.5E-3</v>
      </c>
      <c r="H4564" s="1">
        <v>4.19E-2</v>
      </c>
      <c r="I4564" s="1">
        <v>0.30230000000000001</v>
      </c>
      <c r="J4564" s="1">
        <v>7.4300000000000005E-2</v>
      </c>
    </row>
    <row r="4565" spans="1:10" x14ac:dyDescent="0.25">
      <c r="A4565" t="s">
        <v>203</v>
      </c>
      <c r="B4565" t="s">
        <v>228</v>
      </c>
      <c r="C4565">
        <v>177</v>
      </c>
      <c r="D4565" t="s">
        <v>201</v>
      </c>
      <c r="E4565">
        <v>2633</v>
      </c>
      <c r="F4565" s="1">
        <v>0.42320000000000002</v>
      </c>
      <c r="G4565" s="1">
        <v>8.0000000000000004E-4</v>
      </c>
      <c r="H4565" s="1">
        <v>2.7699999999999999E-2</v>
      </c>
      <c r="I4565" s="1">
        <v>0.41120000000000001</v>
      </c>
      <c r="J4565" s="1">
        <v>0.1371</v>
      </c>
    </row>
    <row r="4566" spans="1:10" x14ac:dyDescent="0.25">
      <c r="A4566" t="s">
        <v>203</v>
      </c>
      <c r="B4566" t="s">
        <v>228</v>
      </c>
      <c r="C4566">
        <v>34</v>
      </c>
      <c r="D4566" t="s">
        <v>202</v>
      </c>
      <c r="E4566">
        <v>2633</v>
      </c>
      <c r="F4566" s="1">
        <v>0.64139999999999997</v>
      </c>
      <c r="H4566" s="1">
        <v>2.0899999999999998E-2</v>
      </c>
      <c r="I4566" s="1">
        <v>0.28399999999999997</v>
      </c>
      <c r="J4566" s="1">
        <v>5.3699999999999998E-2</v>
      </c>
    </row>
    <row r="4567" spans="1:10" x14ac:dyDescent="0.25">
      <c r="A4567" t="s">
        <v>203</v>
      </c>
      <c r="B4567" t="s">
        <v>229</v>
      </c>
      <c r="C4567">
        <v>56</v>
      </c>
      <c r="D4567" t="s">
        <v>202</v>
      </c>
      <c r="E4567">
        <v>2633</v>
      </c>
      <c r="F4567" s="1">
        <v>0.66300000000000003</v>
      </c>
      <c r="H4567" s="1">
        <v>2.9399999999999999E-2</v>
      </c>
      <c r="I4567" s="1">
        <v>0.26440000000000002</v>
      </c>
      <c r="J4567" s="1">
        <v>4.3200000000000002E-2</v>
      </c>
    </row>
    <row r="4568" spans="1:10" x14ac:dyDescent="0.25">
      <c r="A4568" t="s">
        <v>204</v>
      </c>
      <c r="B4568" t="s">
        <v>204</v>
      </c>
      <c r="C4568">
        <v>2633</v>
      </c>
      <c r="D4568" t="s">
        <v>204</v>
      </c>
      <c r="E4568">
        <v>2633</v>
      </c>
      <c r="F4568" s="1">
        <v>0.43690000000000001</v>
      </c>
      <c r="G4568" s="1">
        <v>1.49E-2</v>
      </c>
      <c r="H4568" s="1">
        <v>3.1099999999999999E-2</v>
      </c>
      <c r="I4568" s="1">
        <v>0.4254</v>
      </c>
      <c r="J4568" s="1">
        <v>9.1700000000000004E-2</v>
      </c>
    </row>
    <row r="4570" spans="1:10" x14ac:dyDescent="0.25">
      <c r="A4570" t="s">
        <v>996</v>
      </c>
    </row>
    <row r="4571" spans="1:10" x14ac:dyDescent="0.25">
      <c r="A4571" t="s">
        <v>190</v>
      </c>
      <c r="B4571" t="s">
        <v>206</v>
      </c>
      <c r="C4571" t="s">
        <v>195</v>
      </c>
      <c r="D4571" t="s">
        <v>189</v>
      </c>
      <c r="E4571" t="s">
        <v>196</v>
      </c>
      <c r="F4571" t="s">
        <v>991</v>
      </c>
      <c r="G4571" t="s">
        <v>220</v>
      </c>
      <c r="H4571" t="s">
        <v>992</v>
      </c>
      <c r="I4571" t="s">
        <v>993</v>
      </c>
      <c r="J4571" t="s">
        <v>994</v>
      </c>
    </row>
    <row r="4572" spans="1:10" x14ac:dyDescent="0.25">
      <c r="A4572" t="s">
        <v>198</v>
      </c>
      <c r="B4572" t="s">
        <v>348</v>
      </c>
      <c r="C4572">
        <v>79</v>
      </c>
      <c r="D4572" t="s">
        <v>197</v>
      </c>
      <c r="E4572">
        <v>2633</v>
      </c>
      <c r="F4572" s="1">
        <v>0.38069999999999998</v>
      </c>
      <c r="G4572" s="1">
        <v>5.1200000000000002E-2</v>
      </c>
      <c r="H4572" s="1">
        <v>2.1999999999999999E-2</v>
      </c>
      <c r="I4572" s="1">
        <v>0.46060000000000001</v>
      </c>
      <c r="J4572" s="1">
        <v>8.5500000000000007E-2</v>
      </c>
    </row>
    <row r="4573" spans="1:10" s="29" customFormat="1" x14ac:dyDescent="0.25">
      <c r="A4573" s="29" t="s">
        <v>198</v>
      </c>
      <c r="B4573" s="29" t="s">
        <v>349</v>
      </c>
      <c r="C4573" s="29">
        <v>3</v>
      </c>
      <c r="D4573" s="29" t="s">
        <v>197</v>
      </c>
      <c r="E4573" s="29">
        <v>2633</v>
      </c>
      <c r="F4573" s="30">
        <v>0.33329999999999999</v>
      </c>
      <c r="H4573" s="30">
        <v>0.33329999999999999</v>
      </c>
      <c r="I4573" s="30">
        <v>0.33329999999999999</v>
      </c>
    </row>
    <row r="4574" spans="1:10" x14ac:dyDescent="0.25">
      <c r="A4574" t="s">
        <v>198</v>
      </c>
      <c r="B4574" t="s">
        <v>348</v>
      </c>
      <c r="C4574">
        <v>54</v>
      </c>
      <c r="D4574" t="s">
        <v>199</v>
      </c>
      <c r="E4574">
        <v>2633</v>
      </c>
      <c r="F4574" s="1">
        <v>0.45579999999999998</v>
      </c>
      <c r="G4574" s="1">
        <v>1.67E-2</v>
      </c>
      <c r="H4574" s="1">
        <v>9.9299999999999999E-2</v>
      </c>
      <c r="I4574" s="1">
        <v>0.40610000000000002</v>
      </c>
      <c r="J4574" s="1">
        <v>2.2100000000000002E-2</v>
      </c>
    </row>
    <row r="4575" spans="1:10" x14ac:dyDescent="0.25">
      <c r="A4575" t="s">
        <v>198</v>
      </c>
      <c r="B4575" t="s">
        <v>349</v>
      </c>
      <c r="C4575">
        <v>111</v>
      </c>
      <c r="D4575" t="s">
        <v>199</v>
      </c>
      <c r="E4575">
        <v>2633</v>
      </c>
      <c r="F4575" s="1">
        <v>0.63329999999999997</v>
      </c>
      <c r="G4575" s="1">
        <v>4.2500000000000003E-2</v>
      </c>
      <c r="H4575" s="1">
        <v>6.0600000000000001E-2</v>
      </c>
      <c r="I4575" s="1">
        <v>0.2477</v>
      </c>
      <c r="J4575" s="1">
        <v>1.5900000000000001E-2</v>
      </c>
    </row>
    <row r="4576" spans="1:10" x14ac:dyDescent="0.25">
      <c r="A4576" t="s">
        <v>198</v>
      </c>
      <c r="B4576" t="s">
        <v>350</v>
      </c>
      <c r="C4576">
        <v>193</v>
      </c>
      <c r="D4576" t="s">
        <v>199</v>
      </c>
      <c r="E4576">
        <v>2633</v>
      </c>
      <c r="F4576" s="1">
        <v>0.2417</v>
      </c>
      <c r="G4576" s="1">
        <v>4.0000000000000001E-3</v>
      </c>
      <c r="H4576" s="1">
        <v>4.6699999999999998E-2</v>
      </c>
      <c r="I4576" s="1">
        <v>0.55900000000000005</v>
      </c>
      <c r="J4576" s="1">
        <v>0.14860000000000001</v>
      </c>
    </row>
    <row r="4577" spans="1:10" x14ac:dyDescent="0.25">
      <c r="A4577" t="s">
        <v>198</v>
      </c>
      <c r="B4577" t="s">
        <v>350</v>
      </c>
      <c r="C4577">
        <v>78</v>
      </c>
      <c r="D4577" t="s">
        <v>200</v>
      </c>
      <c r="E4577">
        <v>2633</v>
      </c>
      <c r="F4577" s="1">
        <v>0.35680000000000001</v>
      </c>
      <c r="G4577" s="1">
        <v>1.2699999999999999E-2</v>
      </c>
      <c r="H4577" s="1">
        <v>9.1600000000000001E-2</v>
      </c>
      <c r="I4577" s="1">
        <v>0.39450000000000002</v>
      </c>
      <c r="J4577" s="1">
        <v>0.14430000000000001</v>
      </c>
    </row>
    <row r="4578" spans="1:10" x14ac:dyDescent="0.25">
      <c r="A4578" t="s">
        <v>198</v>
      </c>
      <c r="B4578" t="s">
        <v>348</v>
      </c>
      <c r="C4578">
        <v>242</v>
      </c>
      <c r="D4578" t="s">
        <v>200</v>
      </c>
      <c r="E4578">
        <v>2633</v>
      </c>
      <c r="F4578" s="1">
        <v>0.42599999999999999</v>
      </c>
      <c r="G4578" s="1">
        <v>1.5900000000000001E-2</v>
      </c>
      <c r="H4578" s="1">
        <v>5.3E-3</v>
      </c>
      <c r="I4578" s="1">
        <v>0.4511</v>
      </c>
      <c r="J4578" s="1">
        <v>0.1017</v>
      </c>
    </row>
    <row r="4579" spans="1:10" x14ac:dyDescent="0.25">
      <c r="A4579" t="s">
        <v>198</v>
      </c>
      <c r="B4579" t="s">
        <v>349</v>
      </c>
      <c r="C4579">
        <v>62</v>
      </c>
      <c r="D4579" t="s">
        <v>200</v>
      </c>
      <c r="E4579">
        <v>2633</v>
      </c>
      <c r="F4579" s="1">
        <v>0.46479999999999999</v>
      </c>
      <c r="G4579" s="1">
        <v>7.3700000000000002E-2</v>
      </c>
      <c r="H4579" s="1">
        <v>3.3999999999999998E-3</v>
      </c>
      <c r="I4579" s="1">
        <v>0.41010000000000002</v>
      </c>
      <c r="J4579" s="1">
        <v>4.7899999999999998E-2</v>
      </c>
    </row>
    <row r="4580" spans="1:10" x14ac:dyDescent="0.25">
      <c r="A4580" t="s">
        <v>198</v>
      </c>
      <c r="B4580" t="s">
        <v>349</v>
      </c>
      <c r="C4580">
        <v>125</v>
      </c>
      <c r="D4580" t="s">
        <v>201</v>
      </c>
      <c r="E4580">
        <v>2633</v>
      </c>
      <c r="F4580" s="1">
        <v>0.31559999999999999</v>
      </c>
      <c r="G4580" s="1">
        <v>3.1899999999999998E-2</v>
      </c>
      <c r="H4580" s="1">
        <v>0.02</v>
      </c>
      <c r="I4580" s="1">
        <v>0.49430000000000002</v>
      </c>
      <c r="J4580" s="1">
        <v>0.13830000000000001</v>
      </c>
    </row>
    <row r="4581" spans="1:10" x14ac:dyDescent="0.25">
      <c r="A4581" t="s">
        <v>198</v>
      </c>
      <c r="B4581" t="s">
        <v>350</v>
      </c>
      <c r="C4581">
        <v>63</v>
      </c>
      <c r="D4581" t="s">
        <v>201</v>
      </c>
      <c r="E4581">
        <v>2633</v>
      </c>
      <c r="F4581" s="1">
        <v>0.51519999999999999</v>
      </c>
      <c r="H4581" s="1">
        <v>2.1600000000000001E-2</v>
      </c>
      <c r="I4581" s="1">
        <v>0.20680000000000001</v>
      </c>
      <c r="J4581" s="1">
        <v>0.25640000000000002</v>
      </c>
    </row>
    <row r="4582" spans="1:10" x14ac:dyDescent="0.25">
      <c r="A4582" t="s">
        <v>198</v>
      </c>
      <c r="B4582" t="s">
        <v>348</v>
      </c>
      <c r="C4582">
        <v>62</v>
      </c>
      <c r="D4582" t="s">
        <v>201</v>
      </c>
      <c r="E4582">
        <v>2633</v>
      </c>
      <c r="F4582" s="1">
        <v>0.33189999999999997</v>
      </c>
      <c r="H4582" s="1">
        <v>3.49E-2</v>
      </c>
      <c r="I4582" s="1">
        <v>0.46260000000000001</v>
      </c>
      <c r="J4582" s="1">
        <v>0.1706</v>
      </c>
    </row>
    <row r="4583" spans="1:10" x14ac:dyDescent="0.25">
      <c r="A4583" t="s">
        <v>198</v>
      </c>
      <c r="B4583" t="s">
        <v>348</v>
      </c>
      <c r="C4583">
        <v>96</v>
      </c>
      <c r="D4583" t="s">
        <v>202</v>
      </c>
      <c r="E4583">
        <v>2633</v>
      </c>
      <c r="F4583" s="1">
        <v>0.41860000000000003</v>
      </c>
      <c r="G4583" s="1">
        <v>2.29E-2</v>
      </c>
      <c r="H4583" s="1">
        <v>3.7699999999999997E-2</v>
      </c>
      <c r="I4583" s="1">
        <v>0.42809999999999998</v>
      </c>
      <c r="J4583" s="1">
        <v>9.2700000000000005E-2</v>
      </c>
    </row>
    <row r="4584" spans="1:10" x14ac:dyDescent="0.25">
      <c r="A4584" t="s">
        <v>203</v>
      </c>
      <c r="B4584" t="s">
        <v>349</v>
      </c>
      <c r="C4584">
        <v>171</v>
      </c>
      <c r="D4584" t="s">
        <v>199</v>
      </c>
      <c r="E4584">
        <v>2633</v>
      </c>
      <c r="F4584" s="1">
        <v>0.72460000000000002</v>
      </c>
      <c r="G4584" s="1">
        <v>4.4000000000000003E-3</v>
      </c>
      <c r="H4584" s="1">
        <v>1.2699999999999999E-2</v>
      </c>
      <c r="I4584" s="1">
        <v>0.19570000000000001</v>
      </c>
      <c r="J4584" s="1">
        <v>6.25E-2</v>
      </c>
    </row>
    <row r="4585" spans="1:10" x14ac:dyDescent="0.25">
      <c r="A4585" t="s">
        <v>203</v>
      </c>
      <c r="B4585" t="s">
        <v>348</v>
      </c>
      <c r="C4585">
        <v>42</v>
      </c>
      <c r="D4585" t="s">
        <v>199</v>
      </c>
      <c r="E4585">
        <v>2633</v>
      </c>
      <c r="F4585" s="1">
        <v>0.38650000000000001</v>
      </c>
      <c r="H4585" s="1">
        <v>1.4999999999999999E-2</v>
      </c>
      <c r="I4585" s="1">
        <v>0.54169999999999996</v>
      </c>
      <c r="J4585" s="1">
        <v>5.67E-2</v>
      </c>
    </row>
    <row r="4586" spans="1:10" x14ac:dyDescent="0.25">
      <c r="A4586" t="s">
        <v>203</v>
      </c>
      <c r="B4586" t="s">
        <v>350</v>
      </c>
      <c r="C4586">
        <v>307</v>
      </c>
      <c r="D4586" t="s">
        <v>199</v>
      </c>
      <c r="E4586">
        <v>2633</v>
      </c>
      <c r="F4586" s="1">
        <v>0.36459999999999998</v>
      </c>
      <c r="G4586" s="1">
        <v>1.2999999999999999E-3</v>
      </c>
      <c r="H4586" s="1">
        <v>5.2299999999999999E-2</v>
      </c>
      <c r="I4586" s="1">
        <v>0.50960000000000005</v>
      </c>
      <c r="J4586" s="1">
        <v>7.22E-2</v>
      </c>
    </row>
    <row r="4587" spans="1:10" x14ac:dyDescent="0.25">
      <c r="A4587" t="s">
        <v>203</v>
      </c>
      <c r="B4587" t="s">
        <v>348</v>
      </c>
      <c r="C4587">
        <v>300</v>
      </c>
      <c r="D4587" t="s">
        <v>200</v>
      </c>
      <c r="E4587">
        <v>2633</v>
      </c>
      <c r="F4587" s="1">
        <v>0.38319999999999999</v>
      </c>
      <c r="G4587" s="1">
        <v>8.3999999999999995E-3</v>
      </c>
      <c r="H4587" s="1">
        <v>2.2499999999999999E-2</v>
      </c>
      <c r="I4587" s="1">
        <v>0.4758</v>
      </c>
      <c r="J4587" s="1">
        <v>0.11</v>
      </c>
    </row>
    <row r="4588" spans="1:10" x14ac:dyDescent="0.25">
      <c r="A4588" t="s">
        <v>203</v>
      </c>
      <c r="B4588" t="s">
        <v>349</v>
      </c>
      <c r="C4588">
        <v>108</v>
      </c>
      <c r="D4588" t="s">
        <v>200</v>
      </c>
      <c r="E4588">
        <v>2633</v>
      </c>
      <c r="F4588" s="1">
        <v>0.53220000000000001</v>
      </c>
      <c r="G4588" s="1">
        <v>1.5299999999999999E-2</v>
      </c>
      <c r="H4588" s="1">
        <v>3.2000000000000001E-2</v>
      </c>
      <c r="I4588" s="1">
        <v>0.34870000000000001</v>
      </c>
      <c r="J4588" s="1">
        <v>7.1800000000000003E-2</v>
      </c>
    </row>
    <row r="4589" spans="1:10" x14ac:dyDescent="0.25">
      <c r="A4589" t="s">
        <v>203</v>
      </c>
      <c r="B4589" t="s">
        <v>350</v>
      </c>
      <c r="C4589">
        <v>94</v>
      </c>
      <c r="D4589" t="s">
        <v>200</v>
      </c>
      <c r="E4589">
        <v>2633</v>
      </c>
      <c r="F4589" s="1">
        <v>0.42570000000000002</v>
      </c>
      <c r="G4589" s="1">
        <v>1.89E-2</v>
      </c>
      <c r="H4589" s="1">
        <v>8.8000000000000005E-3</v>
      </c>
      <c r="I4589" s="1">
        <v>0.44119999999999998</v>
      </c>
      <c r="J4589" s="1">
        <v>0.1053</v>
      </c>
    </row>
    <row r="4590" spans="1:10" x14ac:dyDescent="0.25">
      <c r="A4590" t="s">
        <v>203</v>
      </c>
      <c r="B4590" t="s">
        <v>348</v>
      </c>
      <c r="C4590">
        <v>62</v>
      </c>
      <c r="D4590" t="s">
        <v>201</v>
      </c>
      <c r="E4590">
        <v>2633</v>
      </c>
      <c r="F4590" s="1">
        <v>0.35310000000000002</v>
      </c>
      <c r="H4590" s="1">
        <v>3.9199999999999999E-2</v>
      </c>
      <c r="I4590" s="1">
        <v>0.42480000000000001</v>
      </c>
      <c r="J4590" s="1">
        <v>0.18290000000000001</v>
      </c>
    </row>
    <row r="4591" spans="1:10" x14ac:dyDescent="0.25">
      <c r="A4591" t="s">
        <v>203</v>
      </c>
      <c r="B4591" t="s">
        <v>349</v>
      </c>
      <c r="C4591">
        <v>147</v>
      </c>
      <c r="D4591" t="s">
        <v>201</v>
      </c>
      <c r="E4591">
        <v>2633</v>
      </c>
      <c r="F4591" s="1">
        <v>0.56159999999999999</v>
      </c>
      <c r="H4591" s="1">
        <v>4.0800000000000003E-2</v>
      </c>
      <c r="I4591" s="1">
        <v>0.3221</v>
      </c>
      <c r="J4591" s="1">
        <v>7.5499999999999998E-2</v>
      </c>
    </row>
    <row r="4592" spans="1:10" x14ac:dyDescent="0.25">
      <c r="A4592" t="s">
        <v>203</v>
      </c>
      <c r="B4592" t="s">
        <v>350</v>
      </c>
      <c r="C4592">
        <v>105</v>
      </c>
      <c r="D4592" t="s">
        <v>201</v>
      </c>
      <c r="E4592">
        <v>2633</v>
      </c>
      <c r="F4592" s="1">
        <v>0.61550000000000005</v>
      </c>
      <c r="G4592" s="1">
        <v>1.9E-2</v>
      </c>
      <c r="H4592" s="1">
        <v>1.0999999999999999E-2</v>
      </c>
      <c r="I4592" s="1">
        <v>0.25159999999999999</v>
      </c>
      <c r="J4592" s="1">
        <v>0.10290000000000001</v>
      </c>
    </row>
    <row r="4593" spans="1:13" x14ac:dyDescent="0.25">
      <c r="A4593" t="s">
        <v>203</v>
      </c>
      <c r="B4593" t="s">
        <v>348</v>
      </c>
      <c r="C4593">
        <v>90</v>
      </c>
      <c r="D4593" t="s">
        <v>202</v>
      </c>
      <c r="E4593">
        <v>2633</v>
      </c>
      <c r="F4593" s="1">
        <v>0.65690000000000004</v>
      </c>
      <c r="H4593" s="1">
        <v>2.7E-2</v>
      </c>
      <c r="I4593" s="1">
        <v>0.26989999999999997</v>
      </c>
      <c r="J4593" s="1">
        <v>4.6199999999999998E-2</v>
      </c>
    </row>
    <row r="4594" spans="1:13" x14ac:dyDescent="0.25">
      <c r="A4594" t="s">
        <v>204</v>
      </c>
      <c r="B4594" t="s">
        <v>204</v>
      </c>
      <c r="C4594">
        <v>2633</v>
      </c>
      <c r="D4594" t="s">
        <v>204</v>
      </c>
      <c r="E4594">
        <v>2633</v>
      </c>
      <c r="F4594" s="1">
        <v>0.43690000000000001</v>
      </c>
      <c r="G4594" s="1">
        <v>1.49E-2</v>
      </c>
      <c r="H4594" s="1">
        <v>3.1099999999999999E-2</v>
      </c>
      <c r="I4594" s="1">
        <v>0.4254</v>
      </c>
      <c r="J4594" s="1">
        <v>9.1700000000000004E-2</v>
      </c>
    </row>
    <row r="4596" spans="1:13" x14ac:dyDescent="0.25">
      <c r="A4596" t="s">
        <v>997</v>
      </c>
    </row>
    <row r="4597" spans="1:13" x14ac:dyDescent="0.25">
      <c r="A4597" t="s">
        <v>190</v>
      </c>
      <c r="B4597" t="s">
        <v>195</v>
      </c>
      <c r="C4597" t="s">
        <v>189</v>
      </c>
      <c r="D4597" t="s">
        <v>196</v>
      </c>
      <c r="E4597" t="s">
        <v>998</v>
      </c>
      <c r="F4597" t="s">
        <v>999</v>
      </c>
      <c r="G4597" t="s">
        <v>220</v>
      </c>
      <c r="H4597" t="s">
        <v>1000</v>
      </c>
      <c r="I4597" t="s">
        <v>1001</v>
      </c>
      <c r="J4597" t="s">
        <v>1002</v>
      </c>
      <c r="K4597" t="s">
        <v>271</v>
      </c>
      <c r="L4597" t="s">
        <v>235</v>
      </c>
      <c r="M4597" t="s">
        <v>1003</v>
      </c>
    </row>
    <row r="4598" spans="1:13" x14ac:dyDescent="0.25">
      <c r="A4598" t="s">
        <v>198</v>
      </c>
      <c r="B4598">
        <v>75</v>
      </c>
      <c r="C4598" t="s">
        <v>197</v>
      </c>
      <c r="D4598">
        <v>2483</v>
      </c>
      <c r="H4598" s="1">
        <v>0.75239999999999996</v>
      </c>
      <c r="I4598" s="1">
        <v>0.75570000000000004</v>
      </c>
      <c r="J4598" s="1">
        <v>4.2000000000000003E-2</v>
      </c>
    </row>
    <row r="4599" spans="1:13" x14ac:dyDescent="0.25">
      <c r="A4599" t="s">
        <v>198</v>
      </c>
      <c r="B4599">
        <v>344</v>
      </c>
      <c r="C4599" t="s">
        <v>199</v>
      </c>
      <c r="D4599">
        <v>2483</v>
      </c>
      <c r="E4599" s="1">
        <v>1.7500000000000002E-2</v>
      </c>
      <c r="H4599" s="1">
        <v>0.75070000000000003</v>
      </c>
      <c r="I4599" s="1">
        <v>0.8528</v>
      </c>
      <c r="J4599" s="1">
        <v>5.7799999999999997E-2</v>
      </c>
    </row>
    <row r="4600" spans="1:13" x14ac:dyDescent="0.25">
      <c r="A4600" t="s">
        <v>198</v>
      </c>
      <c r="B4600">
        <v>366</v>
      </c>
      <c r="C4600" t="s">
        <v>200</v>
      </c>
      <c r="D4600">
        <v>2483</v>
      </c>
      <c r="E4600" s="1">
        <v>9.4000000000000004E-3</v>
      </c>
      <c r="G4600" s="1">
        <v>2.0000000000000001E-4</v>
      </c>
      <c r="H4600" s="1">
        <v>0.81930000000000003</v>
      </c>
      <c r="I4600" s="1">
        <v>0.66110000000000002</v>
      </c>
      <c r="J4600" s="1">
        <v>6.2199999999999998E-2</v>
      </c>
    </row>
    <row r="4601" spans="1:13" x14ac:dyDescent="0.25">
      <c r="A4601" t="s">
        <v>198</v>
      </c>
      <c r="B4601">
        <v>240</v>
      </c>
      <c r="C4601" t="s">
        <v>201</v>
      </c>
      <c r="D4601">
        <v>2483</v>
      </c>
      <c r="G4601" s="1">
        <v>9.7999999999999997E-3</v>
      </c>
      <c r="H4601" s="1">
        <v>0.76329999999999998</v>
      </c>
      <c r="I4601" s="1">
        <v>0.71879999999999999</v>
      </c>
      <c r="J4601" s="1">
        <v>2.47E-2</v>
      </c>
    </row>
    <row r="4602" spans="1:13" x14ac:dyDescent="0.25">
      <c r="A4602" t="s">
        <v>198</v>
      </c>
      <c r="B4602">
        <v>88</v>
      </c>
      <c r="C4602" t="s">
        <v>202</v>
      </c>
      <c r="D4602">
        <v>2483</v>
      </c>
      <c r="H4602" s="1">
        <v>0.60129999999999995</v>
      </c>
      <c r="I4602" s="1">
        <v>0.79900000000000004</v>
      </c>
      <c r="J4602" s="1">
        <v>1.2800000000000001E-2</v>
      </c>
    </row>
    <row r="4603" spans="1:13" x14ac:dyDescent="0.25">
      <c r="A4603" t="s">
        <v>203</v>
      </c>
      <c r="B4603">
        <v>501</v>
      </c>
      <c r="C4603" t="s">
        <v>199</v>
      </c>
      <c r="D4603">
        <v>2483</v>
      </c>
      <c r="E4603" s="1">
        <v>5.9999999999999995E-4</v>
      </c>
      <c r="H4603" s="1">
        <v>0.87170000000000003</v>
      </c>
      <c r="I4603" s="1">
        <v>0.90869999999999995</v>
      </c>
      <c r="J4603" s="1">
        <v>7.7799999999999994E-2</v>
      </c>
      <c r="M4603" s="1">
        <v>8.8000000000000005E-3</v>
      </c>
    </row>
    <row r="4604" spans="1:13" x14ac:dyDescent="0.25">
      <c r="A4604" t="s">
        <v>203</v>
      </c>
      <c r="B4604">
        <v>476</v>
      </c>
      <c r="C4604" t="s">
        <v>200</v>
      </c>
      <c r="D4604">
        <v>2483</v>
      </c>
      <c r="E4604" s="1">
        <v>2.7000000000000001E-3</v>
      </c>
      <c r="F4604" s="1">
        <v>3.8E-3</v>
      </c>
      <c r="H4604" s="1">
        <v>0.88219999999999998</v>
      </c>
      <c r="I4604" s="1">
        <v>0.78139999999999998</v>
      </c>
      <c r="J4604" s="1">
        <v>6.2600000000000003E-2</v>
      </c>
      <c r="K4604" s="1">
        <v>1.2999999999999999E-3</v>
      </c>
      <c r="L4604" s="1">
        <v>9.4000000000000004E-3</v>
      </c>
      <c r="M4604" s="1">
        <v>1.0699999999999999E-2</v>
      </c>
    </row>
    <row r="4605" spans="1:13" x14ac:dyDescent="0.25">
      <c r="A4605" t="s">
        <v>203</v>
      </c>
      <c r="B4605">
        <v>307</v>
      </c>
      <c r="C4605" t="s">
        <v>201</v>
      </c>
      <c r="D4605">
        <v>2483</v>
      </c>
      <c r="H4605" s="1">
        <v>0.8478</v>
      </c>
      <c r="I4605" s="1">
        <v>0.7833</v>
      </c>
      <c r="J4605" s="1">
        <v>0.13150000000000001</v>
      </c>
    </row>
    <row r="4606" spans="1:13" x14ac:dyDescent="0.25">
      <c r="A4606" t="s">
        <v>203</v>
      </c>
      <c r="B4606">
        <v>86</v>
      </c>
      <c r="C4606" t="s">
        <v>202</v>
      </c>
      <c r="D4606">
        <v>2483</v>
      </c>
      <c r="E4606" s="1">
        <v>1.9E-2</v>
      </c>
      <c r="H4606" s="1">
        <v>0.86909999999999998</v>
      </c>
      <c r="I4606" s="1">
        <v>0.96750000000000003</v>
      </c>
      <c r="J4606" s="1">
        <v>8.8300000000000003E-2</v>
      </c>
      <c r="M4606" s="1">
        <v>2.29E-2</v>
      </c>
    </row>
    <row r="4607" spans="1:13" x14ac:dyDescent="0.25">
      <c r="A4607" t="s">
        <v>204</v>
      </c>
      <c r="B4607">
        <v>2483</v>
      </c>
      <c r="C4607" t="s">
        <v>204</v>
      </c>
      <c r="D4607">
        <v>2483</v>
      </c>
      <c r="E4607" s="1">
        <v>5.1999999999999998E-3</v>
      </c>
      <c r="F4607" s="1">
        <v>1.1999999999999999E-3</v>
      </c>
      <c r="G4607" s="1">
        <v>5.0000000000000001E-4</v>
      </c>
      <c r="H4607" s="1">
        <v>0.81440000000000001</v>
      </c>
      <c r="I4607" s="1">
        <v>0.79830000000000001</v>
      </c>
      <c r="J4607" s="1">
        <v>6.13E-2</v>
      </c>
      <c r="K4607" s="1">
        <v>4.0000000000000002E-4</v>
      </c>
      <c r="L4607" s="1">
        <v>2.8999999999999998E-3</v>
      </c>
      <c r="M4607" s="1">
        <v>5.7000000000000002E-3</v>
      </c>
    </row>
    <row r="4609" spans="1:14" x14ac:dyDescent="0.25">
      <c r="A4609" t="s">
        <v>1004</v>
      </c>
    </row>
    <row r="4610" spans="1:14" x14ac:dyDescent="0.25">
      <c r="A4610" t="s">
        <v>190</v>
      </c>
      <c r="B4610" t="s">
        <v>206</v>
      </c>
      <c r="C4610" t="s">
        <v>195</v>
      </c>
      <c r="D4610" t="s">
        <v>189</v>
      </c>
      <c r="E4610" t="s">
        <v>196</v>
      </c>
      <c r="F4610" t="s">
        <v>998</v>
      </c>
      <c r="G4610" t="s">
        <v>999</v>
      </c>
      <c r="H4610" t="s">
        <v>220</v>
      </c>
      <c r="I4610" t="s">
        <v>1000</v>
      </c>
      <c r="J4610" t="s">
        <v>1001</v>
      </c>
      <c r="K4610" t="s">
        <v>1002</v>
      </c>
      <c r="L4610" t="s">
        <v>271</v>
      </c>
      <c r="M4610" t="s">
        <v>235</v>
      </c>
      <c r="N4610" t="s">
        <v>1003</v>
      </c>
    </row>
    <row r="4611" spans="1:14" s="29" customFormat="1" x14ac:dyDescent="0.25">
      <c r="A4611" s="29" t="s">
        <v>198</v>
      </c>
      <c r="B4611" s="29" t="s">
        <v>228</v>
      </c>
      <c r="C4611" s="29">
        <v>29</v>
      </c>
      <c r="D4611" s="29" t="s">
        <v>197</v>
      </c>
      <c r="E4611" s="29">
        <v>2483</v>
      </c>
      <c r="I4611" s="30">
        <v>0.74670000000000003</v>
      </c>
      <c r="J4611" s="30">
        <v>0.73740000000000006</v>
      </c>
    </row>
    <row r="4612" spans="1:14" x14ac:dyDescent="0.25">
      <c r="A4612" t="s">
        <v>198</v>
      </c>
      <c r="B4612" t="s">
        <v>229</v>
      </c>
      <c r="C4612">
        <v>46</v>
      </c>
      <c r="D4612" t="s">
        <v>197</v>
      </c>
      <c r="E4612">
        <v>2483</v>
      </c>
      <c r="I4612" s="1">
        <v>0.75649999999999995</v>
      </c>
      <c r="J4612" s="1">
        <v>0.76849999999999996</v>
      </c>
      <c r="K4612" s="1">
        <v>7.1400000000000005E-2</v>
      </c>
    </row>
    <row r="4613" spans="1:14" x14ac:dyDescent="0.25">
      <c r="A4613" t="s">
        <v>198</v>
      </c>
      <c r="B4613" t="s">
        <v>228</v>
      </c>
      <c r="C4613">
        <v>131</v>
      </c>
      <c r="D4613" t="s">
        <v>199</v>
      </c>
      <c r="E4613">
        <v>2483</v>
      </c>
      <c r="I4613" s="1">
        <v>0.63539999999999996</v>
      </c>
      <c r="J4613" s="1">
        <v>0.79659999999999997</v>
      </c>
      <c r="K4613" s="1">
        <v>7.7600000000000002E-2</v>
      </c>
    </row>
    <row r="4614" spans="1:14" x14ac:dyDescent="0.25">
      <c r="A4614" t="s">
        <v>198</v>
      </c>
      <c r="B4614" t="s">
        <v>229</v>
      </c>
      <c r="C4614">
        <v>203</v>
      </c>
      <c r="D4614" t="s">
        <v>199</v>
      </c>
      <c r="E4614">
        <v>2483</v>
      </c>
      <c r="F4614" s="1">
        <v>2.3900000000000001E-2</v>
      </c>
      <c r="I4614" s="1">
        <v>0.78920000000000001</v>
      </c>
      <c r="J4614" s="1">
        <v>0.87960000000000005</v>
      </c>
      <c r="K4614" s="1">
        <v>5.1499999999999997E-2</v>
      </c>
    </row>
    <row r="4615" spans="1:14" x14ac:dyDescent="0.25">
      <c r="A4615" t="s">
        <v>198</v>
      </c>
      <c r="B4615" t="s">
        <v>229</v>
      </c>
      <c r="C4615">
        <v>259</v>
      </c>
      <c r="D4615" t="s">
        <v>200</v>
      </c>
      <c r="E4615">
        <v>2483</v>
      </c>
      <c r="F4615" s="1">
        <v>1.23E-2</v>
      </c>
      <c r="I4615" s="1">
        <v>0.85919999999999996</v>
      </c>
      <c r="J4615" s="1">
        <v>0.65539999999999998</v>
      </c>
      <c r="K4615" s="1">
        <v>6.8599999999999994E-2</v>
      </c>
    </row>
    <row r="4616" spans="1:14" x14ac:dyDescent="0.25">
      <c r="A4616" t="s">
        <v>198</v>
      </c>
      <c r="B4616" t="s">
        <v>228</v>
      </c>
      <c r="C4616">
        <v>102</v>
      </c>
      <c r="D4616" t="s">
        <v>200</v>
      </c>
      <c r="E4616">
        <v>2483</v>
      </c>
      <c r="H4616" s="1">
        <v>8.9999999999999998E-4</v>
      </c>
      <c r="I4616" s="1">
        <v>0.67689999999999995</v>
      </c>
      <c r="J4616" s="1">
        <v>0.68059999999999998</v>
      </c>
      <c r="K4616" s="1">
        <v>4.24E-2</v>
      </c>
    </row>
    <row r="4617" spans="1:14" x14ac:dyDescent="0.25">
      <c r="A4617" t="s">
        <v>198</v>
      </c>
      <c r="B4617" t="s">
        <v>228</v>
      </c>
      <c r="C4617">
        <v>87</v>
      </c>
      <c r="D4617" t="s">
        <v>201</v>
      </c>
      <c r="E4617">
        <v>2483</v>
      </c>
      <c r="I4617" s="1">
        <v>0.65269999999999995</v>
      </c>
      <c r="J4617" s="1">
        <v>0.81389999999999996</v>
      </c>
      <c r="K4617" s="1">
        <v>1.6000000000000001E-3</v>
      </c>
    </row>
    <row r="4618" spans="1:14" x14ac:dyDescent="0.25">
      <c r="A4618" t="s">
        <v>198</v>
      </c>
      <c r="B4618" t="s">
        <v>229</v>
      </c>
      <c r="C4618">
        <v>148</v>
      </c>
      <c r="D4618" t="s">
        <v>201</v>
      </c>
      <c r="E4618">
        <v>2483</v>
      </c>
      <c r="H4618" s="1">
        <v>1.2500000000000001E-2</v>
      </c>
      <c r="I4618" s="1">
        <v>0.79010000000000002</v>
      </c>
      <c r="J4618" s="1">
        <v>0.69689999999999996</v>
      </c>
      <c r="K4618" s="1">
        <v>3.1199999999999999E-2</v>
      </c>
    </row>
    <row r="4619" spans="1:14" s="29" customFormat="1" x14ac:dyDescent="0.25">
      <c r="A4619" s="29" t="s">
        <v>198</v>
      </c>
      <c r="B4619" s="29" t="s">
        <v>228</v>
      </c>
      <c r="C4619" s="29">
        <v>24</v>
      </c>
      <c r="D4619" s="29" t="s">
        <v>202</v>
      </c>
      <c r="E4619" s="29">
        <v>2483</v>
      </c>
      <c r="I4619" s="30">
        <v>0.38319999999999999</v>
      </c>
      <c r="J4619" s="30">
        <v>0.92400000000000004</v>
      </c>
    </row>
    <row r="4620" spans="1:14" x14ac:dyDescent="0.25">
      <c r="A4620" t="s">
        <v>198</v>
      </c>
      <c r="B4620" t="s">
        <v>229</v>
      </c>
      <c r="C4620">
        <v>64</v>
      </c>
      <c r="D4620" t="s">
        <v>202</v>
      </c>
      <c r="E4620">
        <v>2483</v>
      </c>
      <c r="I4620" s="1">
        <v>0.66520000000000001</v>
      </c>
      <c r="J4620" s="1">
        <v>0.76249999999999996</v>
      </c>
      <c r="K4620" s="1">
        <v>1.6500000000000001E-2</v>
      </c>
    </row>
    <row r="4621" spans="1:14" x14ac:dyDescent="0.25">
      <c r="A4621" t="s">
        <v>203</v>
      </c>
      <c r="B4621" t="s">
        <v>229</v>
      </c>
      <c r="C4621">
        <v>351</v>
      </c>
      <c r="D4621" t="s">
        <v>199</v>
      </c>
      <c r="E4621">
        <v>2483</v>
      </c>
      <c r="F4621" s="1">
        <v>5.9999999999999995E-4</v>
      </c>
      <c r="I4621" s="1">
        <v>0.89139999999999997</v>
      </c>
      <c r="J4621" s="1">
        <v>0.92079999999999995</v>
      </c>
      <c r="K4621" s="1">
        <v>7.5600000000000001E-2</v>
      </c>
      <c r="N4621" s="1">
        <v>9.9000000000000008E-3</v>
      </c>
    </row>
    <row r="4622" spans="1:14" x14ac:dyDescent="0.25">
      <c r="A4622" t="s">
        <v>203</v>
      </c>
      <c r="B4622" t="s">
        <v>228</v>
      </c>
      <c r="C4622">
        <v>140</v>
      </c>
      <c r="D4622" t="s">
        <v>199</v>
      </c>
      <c r="E4622">
        <v>2483</v>
      </c>
      <c r="I4622" s="1">
        <v>0.7036</v>
      </c>
      <c r="J4622" s="1">
        <v>0.82410000000000005</v>
      </c>
      <c r="K4622" s="1">
        <v>0.1002</v>
      </c>
    </row>
    <row r="4623" spans="1:14" x14ac:dyDescent="0.25">
      <c r="A4623" t="s">
        <v>203</v>
      </c>
      <c r="B4623" t="s">
        <v>229</v>
      </c>
      <c r="C4623">
        <v>338</v>
      </c>
      <c r="D4623" t="s">
        <v>200</v>
      </c>
      <c r="E4623">
        <v>2483</v>
      </c>
      <c r="F4623" s="1">
        <v>3.0999999999999999E-3</v>
      </c>
      <c r="G4623" s="1">
        <v>4.7000000000000002E-3</v>
      </c>
      <c r="I4623" s="1">
        <v>0.88529999999999998</v>
      </c>
      <c r="J4623" s="1">
        <v>0.76939999999999997</v>
      </c>
      <c r="K4623" s="1">
        <v>6.5500000000000003E-2</v>
      </c>
      <c r="M4623" s="1">
        <v>1.15E-2</v>
      </c>
      <c r="N4623" s="1">
        <v>1.2999999999999999E-2</v>
      </c>
    </row>
    <row r="4624" spans="1:14" x14ac:dyDescent="0.25">
      <c r="A4624" t="s">
        <v>203</v>
      </c>
      <c r="B4624" t="s">
        <v>228</v>
      </c>
      <c r="C4624">
        <v>137</v>
      </c>
      <c r="D4624" t="s">
        <v>200</v>
      </c>
      <c r="E4624">
        <v>2483</v>
      </c>
      <c r="F4624" s="1">
        <v>6.9999999999999999E-4</v>
      </c>
      <c r="I4624" s="1">
        <v>0.86799999999999999</v>
      </c>
      <c r="J4624" s="1">
        <v>0.83630000000000004</v>
      </c>
      <c r="K4624" s="1">
        <v>4.9500000000000002E-2</v>
      </c>
      <c r="L4624" s="1">
        <v>7.0000000000000001E-3</v>
      </c>
    </row>
    <row r="4625" spans="1:14" x14ac:dyDescent="0.25">
      <c r="A4625" t="s">
        <v>203</v>
      </c>
      <c r="B4625" t="s">
        <v>229</v>
      </c>
      <c r="C4625">
        <v>132</v>
      </c>
      <c r="D4625" t="s">
        <v>201</v>
      </c>
      <c r="E4625">
        <v>2483</v>
      </c>
      <c r="I4625" s="1">
        <v>0.86509999999999998</v>
      </c>
      <c r="J4625" s="1">
        <v>0.79359999999999997</v>
      </c>
      <c r="K4625" s="1">
        <v>0.11</v>
      </c>
    </row>
    <row r="4626" spans="1:14" x14ac:dyDescent="0.25">
      <c r="A4626" t="s">
        <v>203</v>
      </c>
      <c r="B4626" t="s">
        <v>228</v>
      </c>
      <c r="C4626">
        <v>168</v>
      </c>
      <c r="D4626" t="s">
        <v>201</v>
      </c>
      <c r="E4626">
        <v>2483</v>
      </c>
      <c r="I4626" s="1">
        <v>0.79390000000000005</v>
      </c>
      <c r="J4626" s="1">
        <v>0.7571</v>
      </c>
      <c r="K4626" s="1">
        <v>0.20030000000000001</v>
      </c>
    </row>
    <row r="4627" spans="1:14" x14ac:dyDescent="0.25">
      <c r="A4627" t="s">
        <v>203</v>
      </c>
      <c r="B4627" t="s">
        <v>228</v>
      </c>
      <c r="C4627">
        <v>33</v>
      </c>
      <c r="D4627" t="s">
        <v>202</v>
      </c>
      <c r="E4627">
        <v>2483</v>
      </c>
      <c r="I4627" s="1">
        <v>0.91210000000000002</v>
      </c>
      <c r="J4627" s="1">
        <v>0.89910000000000001</v>
      </c>
    </row>
    <row r="4628" spans="1:14" x14ac:dyDescent="0.25">
      <c r="A4628" t="s">
        <v>203</v>
      </c>
      <c r="B4628" t="s">
        <v>229</v>
      </c>
      <c r="C4628">
        <v>53</v>
      </c>
      <c r="D4628" t="s">
        <v>202</v>
      </c>
      <c r="E4628">
        <v>2483</v>
      </c>
      <c r="F4628" s="1">
        <v>2.6499999999999999E-2</v>
      </c>
      <c r="I4628" s="1">
        <v>0.85199999999999998</v>
      </c>
      <c r="J4628" s="1">
        <v>0.99460000000000004</v>
      </c>
      <c r="K4628" s="1">
        <v>0.1234</v>
      </c>
      <c r="N4628" s="1">
        <v>3.1899999999999998E-2</v>
      </c>
    </row>
    <row r="4629" spans="1:14" x14ac:dyDescent="0.25">
      <c r="A4629" t="s">
        <v>204</v>
      </c>
      <c r="B4629" t="s">
        <v>204</v>
      </c>
      <c r="C4629">
        <v>2483</v>
      </c>
      <c r="D4629" t="s">
        <v>204</v>
      </c>
      <c r="E4629">
        <v>2483</v>
      </c>
      <c r="F4629" s="1">
        <v>5.1999999999999998E-3</v>
      </c>
      <c r="G4629" s="1">
        <v>1.1999999999999999E-3</v>
      </c>
      <c r="H4629" s="1">
        <v>5.0000000000000001E-4</v>
      </c>
      <c r="I4629" s="1">
        <v>0.81440000000000001</v>
      </c>
      <c r="J4629" s="1">
        <v>0.79830000000000001</v>
      </c>
      <c r="K4629" s="1">
        <v>6.13E-2</v>
      </c>
      <c r="L4629" s="1">
        <v>4.0000000000000002E-4</v>
      </c>
      <c r="M4629" s="1">
        <v>2.8999999999999998E-3</v>
      </c>
      <c r="N4629" s="1">
        <v>5.7000000000000002E-3</v>
      </c>
    </row>
    <row r="4631" spans="1:14" x14ac:dyDescent="0.25">
      <c r="A4631" t="s">
        <v>1005</v>
      </c>
    </row>
    <row r="4632" spans="1:14" x14ac:dyDescent="0.25">
      <c r="A4632" t="s">
        <v>190</v>
      </c>
      <c r="B4632" t="s">
        <v>206</v>
      </c>
      <c r="C4632" t="s">
        <v>195</v>
      </c>
      <c r="D4632" t="s">
        <v>189</v>
      </c>
      <c r="E4632" t="s">
        <v>196</v>
      </c>
      <c r="F4632" t="s">
        <v>998</v>
      </c>
      <c r="G4632" t="s">
        <v>999</v>
      </c>
      <c r="H4632" t="s">
        <v>220</v>
      </c>
      <c r="I4632" t="s">
        <v>1000</v>
      </c>
      <c r="J4632" t="s">
        <v>1001</v>
      </c>
      <c r="K4632" t="s">
        <v>1002</v>
      </c>
      <c r="L4632" t="s">
        <v>271</v>
      </c>
      <c r="M4632" t="s">
        <v>235</v>
      </c>
      <c r="N4632" t="s">
        <v>1003</v>
      </c>
    </row>
    <row r="4633" spans="1:14" x14ac:dyDescent="0.25">
      <c r="A4633" t="s">
        <v>198</v>
      </c>
      <c r="B4633" t="s">
        <v>348</v>
      </c>
      <c r="C4633">
        <v>73</v>
      </c>
      <c r="D4633" t="s">
        <v>197</v>
      </c>
      <c r="E4633">
        <v>2483</v>
      </c>
      <c r="I4633" s="1">
        <v>0.75860000000000005</v>
      </c>
      <c r="J4633" s="1">
        <v>0.74970000000000003</v>
      </c>
      <c r="K4633" s="1">
        <v>4.2999999999999997E-2</v>
      </c>
    </row>
    <row r="4634" spans="1:14" s="29" customFormat="1" x14ac:dyDescent="0.25">
      <c r="A4634" s="29" t="s">
        <v>198</v>
      </c>
      <c r="B4634" s="29" t="s">
        <v>349</v>
      </c>
      <c r="C4634" s="29">
        <v>2</v>
      </c>
      <c r="D4634" s="29" t="s">
        <v>197</v>
      </c>
      <c r="E4634" s="29">
        <v>2483</v>
      </c>
      <c r="I4634" s="30">
        <v>0.5</v>
      </c>
      <c r="J4634" s="30">
        <v>1</v>
      </c>
    </row>
    <row r="4635" spans="1:14" x14ac:dyDescent="0.25">
      <c r="A4635" t="s">
        <v>198</v>
      </c>
      <c r="B4635" t="s">
        <v>348</v>
      </c>
      <c r="C4635">
        <v>47</v>
      </c>
      <c r="D4635" t="s">
        <v>199</v>
      </c>
      <c r="E4635">
        <v>2483</v>
      </c>
      <c r="I4635" s="1">
        <v>0.74539999999999995</v>
      </c>
      <c r="J4635" s="1">
        <v>0.92379999999999995</v>
      </c>
      <c r="K4635" s="1">
        <v>0.2382</v>
      </c>
    </row>
    <row r="4636" spans="1:14" x14ac:dyDescent="0.25">
      <c r="A4636" t="s">
        <v>198</v>
      </c>
      <c r="B4636" t="s">
        <v>349</v>
      </c>
      <c r="C4636">
        <v>104</v>
      </c>
      <c r="D4636" t="s">
        <v>199</v>
      </c>
      <c r="E4636">
        <v>2483</v>
      </c>
      <c r="I4636" s="1">
        <v>0.76629999999999998</v>
      </c>
      <c r="J4636" s="1">
        <v>0.91759999999999997</v>
      </c>
      <c r="K4636" s="1">
        <v>1.9400000000000001E-2</v>
      </c>
    </row>
    <row r="4637" spans="1:14" x14ac:dyDescent="0.25">
      <c r="A4637" t="s">
        <v>198</v>
      </c>
      <c r="B4637" t="s">
        <v>350</v>
      </c>
      <c r="C4637">
        <v>183</v>
      </c>
      <c r="D4637" t="s">
        <v>199</v>
      </c>
      <c r="E4637">
        <v>2483</v>
      </c>
      <c r="F4637" s="1">
        <v>4.1799999999999997E-2</v>
      </c>
      <c r="I4637" s="1">
        <v>0.73199999999999998</v>
      </c>
      <c r="J4637" s="1">
        <v>0.7742</v>
      </c>
      <c r="K4637" s="1">
        <v>4.1799999999999997E-2</v>
      </c>
    </row>
    <row r="4638" spans="1:14" x14ac:dyDescent="0.25">
      <c r="A4638" t="s">
        <v>198</v>
      </c>
      <c r="B4638" t="s">
        <v>350</v>
      </c>
      <c r="C4638">
        <v>64</v>
      </c>
      <c r="D4638" t="s">
        <v>200</v>
      </c>
      <c r="E4638">
        <v>2483</v>
      </c>
      <c r="H4638" s="1">
        <v>3.0999999999999999E-3</v>
      </c>
      <c r="I4638" s="1">
        <v>0.81559999999999999</v>
      </c>
      <c r="J4638" s="1">
        <v>0.73670000000000002</v>
      </c>
    </row>
    <row r="4639" spans="1:14" x14ac:dyDescent="0.25">
      <c r="A4639" t="s">
        <v>198</v>
      </c>
      <c r="B4639" t="s">
        <v>348</v>
      </c>
      <c r="C4639">
        <v>238</v>
      </c>
      <c r="D4639" t="s">
        <v>200</v>
      </c>
      <c r="E4639">
        <v>2483</v>
      </c>
      <c r="F4639" s="1">
        <v>1.0800000000000001E-2</v>
      </c>
      <c r="I4639" s="1">
        <v>0.82520000000000004</v>
      </c>
      <c r="J4639" s="1">
        <v>0.64710000000000001</v>
      </c>
      <c r="K4639" s="1">
        <v>6.7900000000000002E-2</v>
      </c>
    </row>
    <row r="4640" spans="1:14" x14ac:dyDescent="0.25">
      <c r="A4640" t="s">
        <v>198</v>
      </c>
      <c r="B4640" t="s">
        <v>349</v>
      </c>
      <c r="C4640">
        <v>59</v>
      </c>
      <c r="D4640" t="s">
        <v>200</v>
      </c>
      <c r="E4640">
        <v>2483</v>
      </c>
      <c r="I4640" s="1">
        <v>0.70720000000000005</v>
      </c>
      <c r="J4640" s="1">
        <v>0.79259999999999997</v>
      </c>
      <c r="K4640" s="1">
        <v>5.4199999999999998E-2</v>
      </c>
    </row>
    <row r="4641" spans="1:14" x14ac:dyDescent="0.25">
      <c r="A4641" t="s">
        <v>198</v>
      </c>
      <c r="B4641" t="s">
        <v>349</v>
      </c>
      <c r="C4641">
        <v>115</v>
      </c>
      <c r="D4641" t="s">
        <v>201</v>
      </c>
      <c r="E4641">
        <v>2483</v>
      </c>
      <c r="H4641" s="1">
        <v>1.44E-2</v>
      </c>
      <c r="I4641" s="1">
        <v>0.81179999999999997</v>
      </c>
      <c r="J4641" s="1">
        <v>0.68200000000000005</v>
      </c>
      <c r="K4641" s="1">
        <v>1.44E-2</v>
      </c>
    </row>
    <row r="4642" spans="1:14" x14ac:dyDescent="0.25">
      <c r="A4642" t="s">
        <v>198</v>
      </c>
      <c r="B4642" t="s">
        <v>350</v>
      </c>
      <c r="C4642">
        <v>61</v>
      </c>
      <c r="D4642" t="s">
        <v>201</v>
      </c>
      <c r="E4642">
        <v>2483</v>
      </c>
      <c r="I4642" s="1">
        <v>0.62949999999999995</v>
      </c>
      <c r="J4642" s="1">
        <v>0.68130000000000002</v>
      </c>
      <c r="K4642" s="1">
        <v>7.1000000000000004E-3</v>
      </c>
    </row>
    <row r="4643" spans="1:14" x14ac:dyDescent="0.25">
      <c r="A4643" t="s">
        <v>198</v>
      </c>
      <c r="B4643" t="s">
        <v>348</v>
      </c>
      <c r="C4643">
        <v>59</v>
      </c>
      <c r="D4643" t="s">
        <v>201</v>
      </c>
      <c r="E4643">
        <v>2483</v>
      </c>
      <c r="I4643" s="1">
        <v>0.6522</v>
      </c>
      <c r="J4643" s="1">
        <v>0.83230000000000004</v>
      </c>
      <c r="K4643" s="1">
        <v>5.5899999999999998E-2</v>
      </c>
    </row>
    <row r="4644" spans="1:14" x14ac:dyDescent="0.25">
      <c r="A4644" t="s">
        <v>198</v>
      </c>
      <c r="B4644" t="s">
        <v>348</v>
      </c>
      <c r="C4644">
        <v>88</v>
      </c>
      <c r="D4644" t="s">
        <v>202</v>
      </c>
      <c r="E4644">
        <v>2483</v>
      </c>
      <c r="I4644" s="1">
        <v>0.60129999999999995</v>
      </c>
      <c r="J4644" s="1">
        <v>0.79900000000000004</v>
      </c>
      <c r="K4644" s="1">
        <v>1.2800000000000001E-2</v>
      </c>
    </row>
    <row r="4645" spans="1:14" x14ac:dyDescent="0.25">
      <c r="A4645" t="s">
        <v>203</v>
      </c>
      <c r="B4645" t="s">
        <v>349</v>
      </c>
      <c r="C4645">
        <v>163</v>
      </c>
      <c r="D4645" t="s">
        <v>199</v>
      </c>
      <c r="E4645">
        <v>2483</v>
      </c>
      <c r="F4645" s="1">
        <v>1.6999999999999999E-3</v>
      </c>
      <c r="I4645" s="1">
        <v>0.90639999999999998</v>
      </c>
      <c r="J4645" s="1">
        <v>0.93230000000000002</v>
      </c>
      <c r="K4645" s="1">
        <v>0.17630000000000001</v>
      </c>
    </row>
    <row r="4646" spans="1:14" x14ac:dyDescent="0.25">
      <c r="A4646" t="s">
        <v>203</v>
      </c>
      <c r="B4646" t="s">
        <v>348</v>
      </c>
      <c r="C4646">
        <v>40</v>
      </c>
      <c r="D4646" t="s">
        <v>199</v>
      </c>
      <c r="E4646">
        <v>2483</v>
      </c>
      <c r="I4646" s="1">
        <v>0.9476</v>
      </c>
      <c r="J4646" s="1">
        <v>0.96450000000000002</v>
      </c>
      <c r="K4646" s="1">
        <v>0.20780000000000001</v>
      </c>
    </row>
    <row r="4647" spans="1:14" x14ac:dyDescent="0.25">
      <c r="A4647" t="s">
        <v>203</v>
      </c>
      <c r="B4647" t="s">
        <v>350</v>
      </c>
      <c r="C4647">
        <v>288</v>
      </c>
      <c r="D4647" t="s">
        <v>199</v>
      </c>
      <c r="E4647">
        <v>2483</v>
      </c>
      <c r="I4647" s="1">
        <v>0.84809999999999997</v>
      </c>
      <c r="J4647" s="1">
        <v>0.89549999999999996</v>
      </c>
      <c r="K4647" s="1">
        <v>1.7000000000000001E-2</v>
      </c>
      <c r="N4647" s="1">
        <v>1.4200000000000001E-2</v>
      </c>
    </row>
    <row r="4648" spans="1:14" x14ac:dyDescent="0.25">
      <c r="A4648" t="s">
        <v>203</v>
      </c>
      <c r="B4648" t="s">
        <v>348</v>
      </c>
      <c r="C4648">
        <v>283</v>
      </c>
      <c r="D4648" t="s">
        <v>200</v>
      </c>
      <c r="E4648">
        <v>2483</v>
      </c>
      <c r="F4648" s="1">
        <v>2.3E-3</v>
      </c>
      <c r="G4648" s="1">
        <v>4.1999999999999997E-3</v>
      </c>
      <c r="I4648" s="1">
        <v>0.87919999999999998</v>
      </c>
      <c r="J4648" s="1">
        <v>0.78890000000000005</v>
      </c>
      <c r="K4648" s="1">
        <v>6.3299999999999995E-2</v>
      </c>
      <c r="M4648" s="1">
        <v>1.06E-2</v>
      </c>
      <c r="N4648" s="1">
        <v>1.06E-2</v>
      </c>
    </row>
    <row r="4649" spans="1:14" x14ac:dyDescent="0.25">
      <c r="A4649" t="s">
        <v>203</v>
      </c>
      <c r="B4649" t="s">
        <v>349</v>
      </c>
      <c r="C4649">
        <v>104</v>
      </c>
      <c r="D4649" t="s">
        <v>200</v>
      </c>
      <c r="E4649">
        <v>2483</v>
      </c>
      <c r="I4649" s="1">
        <v>0.88990000000000002</v>
      </c>
      <c r="J4649" s="1">
        <v>0.7913</v>
      </c>
      <c r="K4649" s="1">
        <v>5.0599999999999999E-2</v>
      </c>
      <c r="L4649" s="1">
        <v>1.6E-2</v>
      </c>
      <c r="N4649" s="1">
        <v>1.6E-2</v>
      </c>
    </row>
    <row r="4650" spans="1:14" x14ac:dyDescent="0.25">
      <c r="A4650" t="s">
        <v>203</v>
      </c>
      <c r="B4650" t="s">
        <v>350</v>
      </c>
      <c r="C4650">
        <v>88</v>
      </c>
      <c r="D4650" t="s">
        <v>200</v>
      </c>
      <c r="E4650">
        <v>2483</v>
      </c>
      <c r="F4650" s="1">
        <v>1.9400000000000001E-2</v>
      </c>
      <c r="G4650" s="1">
        <v>3.5000000000000001E-3</v>
      </c>
      <c r="I4650" s="1">
        <v>0.94410000000000005</v>
      </c>
      <c r="J4650" s="1">
        <v>0.56079999999999997</v>
      </c>
      <c r="K4650" s="1">
        <v>7.2599999999999998E-2</v>
      </c>
    </row>
    <row r="4651" spans="1:14" x14ac:dyDescent="0.25">
      <c r="A4651" t="s">
        <v>203</v>
      </c>
      <c r="B4651" t="s">
        <v>348</v>
      </c>
      <c r="C4651">
        <v>59</v>
      </c>
      <c r="D4651" t="s">
        <v>201</v>
      </c>
      <c r="E4651">
        <v>2483</v>
      </c>
      <c r="I4651" s="1">
        <v>0.6704</v>
      </c>
      <c r="J4651" s="1">
        <v>0.84919999999999995</v>
      </c>
      <c r="K4651" s="1">
        <v>5.3699999999999998E-2</v>
      </c>
    </row>
    <row r="4652" spans="1:14" x14ac:dyDescent="0.25">
      <c r="A4652" t="s">
        <v>203</v>
      </c>
      <c r="B4652" t="s">
        <v>349</v>
      </c>
      <c r="C4652">
        <v>142</v>
      </c>
      <c r="D4652" t="s">
        <v>201</v>
      </c>
      <c r="E4652">
        <v>2483</v>
      </c>
      <c r="I4652" s="1">
        <v>0.86699999999999999</v>
      </c>
      <c r="J4652" s="1">
        <v>0.8075</v>
      </c>
      <c r="K4652" s="1">
        <v>0.15409999999999999</v>
      </c>
    </row>
    <row r="4653" spans="1:14" x14ac:dyDescent="0.25">
      <c r="A4653" t="s">
        <v>203</v>
      </c>
      <c r="B4653" t="s">
        <v>350</v>
      </c>
      <c r="C4653">
        <v>99</v>
      </c>
      <c r="D4653" t="s">
        <v>201</v>
      </c>
      <c r="E4653">
        <v>2483</v>
      </c>
      <c r="I4653" s="1">
        <v>0.90290000000000004</v>
      </c>
      <c r="J4653" s="1">
        <v>0.42980000000000002</v>
      </c>
    </row>
    <row r="4654" spans="1:14" x14ac:dyDescent="0.25">
      <c r="A4654" t="s">
        <v>203</v>
      </c>
      <c r="B4654" t="s">
        <v>348</v>
      </c>
      <c r="C4654">
        <v>86</v>
      </c>
      <c r="D4654" t="s">
        <v>202</v>
      </c>
      <c r="E4654">
        <v>2483</v>
      </c>
      <c r="F4654" s="1">
        <v>1.9E-2</v>
      </c>
      <c r="I4654" s="1">
        <v>0.86909999999999998</v>
      </c>
      <c r="J4654" s="1">
        <v>0.96750000000000003</v>
      </c>
      <c r="K4654" s="1">
        <v>8.8300000000000003E-2</v>
      </c>
      <c r="N4654" s="1">
        <v>2.29E-2</v>
      </c>
    </row>
    <row r="4655" spans="1:14" x14ac:dyDescent="0.25">
      <c r="A4655" t="s">
        <v>204</v>
      </c>
      <c r="B4655" t="s">
        <v>204</v>
      </c>
      <c r="C4655">
        <v>2483</v>
      </c>
      <c r="D4655" t="s">
        <v>204</v>
      </c>
      <c r="E4655">
        <v>2483</v>
      </c>
      <c r="F4655" s="1">
        <v>5.1999999999999998E-3</v>
      </c>
      <c r="G4655" s="1">
        <v>1.1999999999999999E-3</v>
      </c>
      <c r="H4655" s="1">
        <v>5.0000000000000001E-4</v>
      </c>
      <c r="I4655" s="1">
        <v>0.81440000000000001</v>
      </c>
      <c r="J4655" s="1">
        <v>0.79830000000000001</v>
      </c>
      <c r="K4655" s="1">
        <v>6.13E-2</v>
      </c>
      <c r="L4655" s="1">
        <v>4.0000000000000002E-4</v>
      </c>
      <c r="M4655" s="1">
        <v>2.8999999999999998E-3</v>
      </c>
      <c r="N4655" s="1">
        <v>5.7000000000000002E-3</v>
      </c>
    </row>
    <row r="4657" spans="1:10" x14ac:dyDescent="0.25">
      <c r="A4657" t="s">
        <v>1006</v>
      </c>
    </row>
    <row r="4658" spans="1:10" x14ac:dyDescent="0.25">
      <c r="A4658" t="s">
        <v>190</v>
      </c>
      <c r="B4658" t="s">
        <v>195</v>
      </c>
      <c r="C4658" t="s">
        <v>189</v>
      </c>
      <c r="D4658" t="s">
        <v>196</v>
      </c>
      <c r="E4658" t="s">
        <v>1007</v>
      </c>
      <c r="F4658" t="s">
        <v>215</v>
      </c>
      <c r="G4658" t="s">
        <v>1008</v>
      </c>
      <c r="H4658" t="s">
        <v>1009</v>
      </c>
      <c r="I4658" t="s">
        <v>1010</v>
      </c>
    </row>
    <row r="4659" spans="1:10" x14ac:dyDescent="0.25">
      <c r="A4659" t="s">
        <v>198</v>
      </c>
      <c r="B4659">
        <v>82</v>
      </c>
      <c r="C4659" t="s">
        <v>197</v>
      </c>
      <c r="D4659">
        <v>2633</v>
      </c>
      <c r="E4659" s="1">
        <v>0.24790000000000001</v>
      </c>
      <c r="G4659" s="1">
        <v>0.23480000000000001</v>
      </c>
      <c r="H4659" s="1">
        <v>0.27329999999999999</v>
      </c>
      <c r="I4659" s="1">
        <v>0.24390000000000001</v>
      </c>
    </row>
    <row r="4660" spans="1:10" x14ac:dyDescent="0.25">
      <c r="A4660" t="s">
        <v>198</v>
      </c>
      <c r="B4660">
        <v>368</v>
      </c>
      <c r="C4660" t="s">
        <v>199</v>
      </c>
      <c r="D4660">
        <v>2633</v>
      </c>
      <c r="E4660" s="1">
        <v>0.27279999999999999</v>
      </c>
      <c r="G4660" s="1">
        <v>0.14610000000000001</v>
      </c>
      <c r="H4660" s="1">
        <v>0.432</v>
      </c>
      <c r="I4660" s="1">
        <v>0.14910000000000001</v>
      </c>
    </row>
    <row r="4661" spans="1:10" x14ac:dyDescent="0.25">
      <c r="A4661" t="s">
        <v>198</v>
      </c>
      <c r="B4661">
        <v>387</v>
      </c>
      <c r="C4661" t="s">
        <v>200</v>
      </c>
      <c r="D4661">
        <v>2633</v>
      </c>
      <c r="E4661" s="1">
        <v>0.2316</v>
      </c>
      <c r="F4661" s="1">
        <v>1.6999999999999999E-3</v>
      </c>
      <c r="G4661" s="1">
        <v>0.24629999999999999</v>
      </c>
      <c r="H4661" s="1">
        <v>0.4052</v>
      </c>
      <c r="I4661" s="1">
        <v>0.1152</v>
      </c>
    </row>
    <row r="4662" spans="1:10" x14ac:dyDescent="0.25">
      <c r="A4662" t="s">
        <v>198</v>
      </c>
      <c r="B4662">
        <v>256</v>
      </c>
      <c r="C4662" t="s">
        <v>201</v>
      </c>
      <c r="D4662">
        <v>2633</v>
      </c>
      <c r="E4662" s="1">
        <v>0.19220000000000001</v>
      </c>
      <c r="G4662" s="1">
        <v>0.36370000000000002</v>
      </c>
      <c r="H4662" s="1">
        <v>0.32450000000000001</v>
      </c>
      <c r="I4662" s="1">
        <v>0.1196</v>
      </c>
    </row>
    <row r="4663" spans="1:10" x14ac:dyDescent="0.25">
      <c r="A4663" t="s">
        <v>198</v>
      </c>
      <c r="B4663">
        <v>96</v>
      </c>
      <c r="C4663" t="s">
        <v>202</v>
      </c>
      <c r="D4663">
        <v>2633</v>
      </c>
      <c r="E4663" s="1">
        <v>0.39600000000000002</v>
      </c>
      <c r="G4663" s="1">
        <v>0.2424</v>
      </c>
      <c r="H4663" s="1">
        <v>0.2611</v>
      </c>
      <c r="I4663" s="1">
        <v>0.1004</v>
      </c>
    </row>
    <row r="4664" spans="1:10" x14ac:dyDescent="0.25">
      <c r="A4664" t="s">
        <v>203</v>
      </c>
      <c r="B4664">
        <v>530</v>
      </c>
      <c r="C4664" t="s">
        <v>199</v>
      </c>
      <c r="D4664">
        <v>2633</v>
      </c>
      <c r="E4664" s="1">
        <v>0.11260000000000001</v>
      </c>
      <c r="G4664" s="1">
        <v>0.35649999999999998</v>
      </c>
      <c r="H4664" s="1">
        <v>0.41399999999999998</v>
      </c>
      <c r="I4664" s="1">
        <v>0.1169</v>
      </c>
    </row>
    <row r="4665" spans="1:10" x14ac:dyDescent="0.25">
      <c r="A4665" t="s">
        <v>203</v>
      </c>
      <c r="B4665">
        <v>503</v>
      </c>
      <c r="C4665" t="s">
        <v>200</v>
      </c>
      <c r="D4665">
        <v>2633</v>
      </c>
      <c r="E4665" s="1">
        <v>0.1328</v>
      </c>
      <c r="G4665" s="1">
        <v>0.29360000000000003</v>
      </c>
      <c r="H4665" s="1">
        <v>0.51259999999999994</v>
      </c>
      <c r="I4665" s="1">
        <v>6.0900000000000003E-2</v>
      </c>
    </row>
    <row r="4666" spans="1:10" x14ac:dyDescent="0.25">
      <c r="A4666" t="s">
        <v>203</v>
      </c>
      <c r="B4666">
        <v>321</v>
      </c>
      <c r="C4666" t="s">
        <v>201</v>
      </c>
      <c r="D4666">
        <v>2633</v>
      </c>
      <c r="E4666" s="1">
        <v>0.19189999999999999</v>
      </c>
      <c r="F4666" s="1">
        <v>3.8E-3</v>
      </c>
      <c r="G4666" s="1">
        <v>0.314</v>
      </c>
      <c r="H4666" s="1">
        <v>0.23139999999999999</v>
      </c>
      <c r="I4666" s="1">
        <v>0.25879999999999997</v>
      </c>
    </row>
    <row r="4667" spans="1:10" x14ac:dyDescent="0.25">
      <c r="A4667" t="s">
        <v>203</v>
      </c>
      <c r="B4667">
        <v>90</v>
      </c>
      <c r="C4667" t="s">
        <v>202</v>
      </c>
      <c r="D4667">
        <v>2633</v>
      </c>
      <c r="E4667" s="1">
        <v>0.19980000000000001</v>
      </c>
      <c r="F4667" s="1">
        <v>4.8999999999999998E-3</v>
      </c>
      <c r="G4667" s="1">
        <v>0.23930000000000001</v>
      </c>
      <c r="H4667" s="1">
        <v>0.50109999999999999</v>
      </c>
      <c r="I4667" s="1">
        <v>5.4899999999999997E-2</v>
      </c>
    </row>
    <row r="4668" spans="1:10" x14ac:dyDescent="0.25">
      <c r="A4668" t="s">
        <v>204</v>
      </c>
      <c r="B4668">
        <v>2633</v>
      </c>
      <c r="C4668" t="s">
        <v>204</v>
      </c>
      <c r="D4668">
        <v>2633</v>
      </c>
      <c r="E4668" s="1">
        <v>0.20200000000000001</v>
      </c>
      <c r="F4668" s="1">
        <v>6.9999999999999999E-4</v>
      </c>
      <c r="G4668" s="1">
        <v>0.27029999999999998</v>
      </c>
      <c r="H4668" s="1">
        <v>0.41210000000000002</v>
      </c>
      <c r="I4668" s="1">
        <v>0.1149</v>
      </c>
    </row>
    <row r="4670" spans="1:10" x14ac:dyDescent="0.25">
      <c r="A4670" t="s">
        <v>1011</v>
      </c>
    </row>
    <row r="4671" spans="1:10" x14ac:dyDescent="0.25">
      <c r="A4671" t="s">
        <v>190</v>
      </c>
      <c r="B4671" t="s">
        <v>206</v>
      </c>
      <c r="C4671" t="s">
        <v>195</v>
      </c>
      <c r="D4671" t="s">
        <v>189</v>
      </c>
      <c r="E4671" t="s">
        <v>196</v>
      </c>
      <c r="F4671" t="s">
        <v>1007</v>
      </c>
      <c r="G4671" t="s">
        <v>215</v>
      </c>
      <c r="H4671" t="s">
        <v>1008</v>
      </c>
      <c r="I4671" t="s">
        <v>1009</v>
      </c>
      <c r="J4671" t="s">
        <v>1010</v>
      </c>
    </row>
    <row r="4672" spans="1:10" x14ac:dyDescent="0.25">
      <c r="A4672" t="s">
        <v>198</v>
      </c>
      <c r="B4672" t="s">
        <v>228</v>
      </c>
      <c r="C4672">
        <v>33</v>
      </c>
      <c r="D4672" t="s">
        <v>197</v>
      </c>
      <c r="E4672">
        <v>2633</v>
      </c>
      <c r="F4672" s="1">
        <v>0.2858</v>
      </c>
      <c r="H4672" s="1">
        <v>0.25879999999999997</v>
      </c>
      <c r="I4672" s="1">
        <v>0.1229</v>
      </c>
      <c r="J4672" s="1">
        <v>0.33250000000000002</v>
      </c>
    </row>
    <row r="4673" spans="1:10" x14ac:dyDescent="0.25">
      <c r="A4673" t="s">
        <v>198</v>
      </c>
      <c r="B4673" t="s">
        <v>229</v>
      </c>
      <c r="C4673">
        <v>49</v>
      </c>
      <c r="D4673" t="s">
        <v>197</v>
      </c>
      <c r="E4673">
        <v>2633</v>
      </c>
      <c r="F4673" s="1">
        <v>0.21909999999999999</v>
      </c>
      <c r="H4673" s="1">
        <v>0.21659999999999999</v>
      </c>
      <c r="I4673" s="1">
        <v>0.38769999999999999</v>
      </c>
      <c r="J4673" s="1">
        <v>0.17660000000000001</v>
      </c>
    </row>
    <row r="4674" spans="1:10" x14ac:dyDescent="0.25">
      <c r="A4674" t="s">
        <v>198</v>
      </c>
      <c r="B4674" t="s">
        <v>228</v>
      </c>
      <c r="C4674">
        <v>145</v>
      </c>
      <c r="D4674" t="s">
        <v>199</v>
      </c>
      <c r="E4674">
        <v>2633</v>
      </c>
      <c r="F4674" s="1">
        <v>0.40589999999999998</v>
      </c>
      <c r="H4674" s="1">
        <v>0.2152</v>
      </c>
      <c r="I4674" s="1">
        <v>7.3499999999999996E-2</v>
      </c>
      <c r="J4674" s="1">
        <v>0.3054</v>
      </c>
    </row>
    <row r="4675" spans="1:10" x14ac:dyDescent="0.25">
      <c r="A4675" t="s">
        <v>198</v>
      </c>
      <c r="B4675" t="s">
        <v>229</v>
      </c>
      <c r="C4675">
        <v>213</v>
      </c>
      <c r="D4675" t="s">
        <v>199</v>
      </c>
      <c r="E4675">
        <v>2633</v>
      </c>
      <c r="F4675" s="1">
        <v>0.2263</v>
      </c>
      <c r="H4675" s="1">
        <v>0.1201</v>
      </c>
      <c r="I4675" s="1">
        <v>0.55840000000000001</v>
      </c>
      <c r="J4675" s="1">
        <v>9.5299999999999996E-2</v>
      </c>
    </row>
    <row r="4676" spans="1:10" x14ac:dyDescent="0.25">
      <c r="A4676" t="s">
        <v>198</v>
      </c>
      <c r="B4676" t="s">
        <v>229</v>
      </c>
      <c r="C4676">
        <v>270</v>
      </c>
      <c r="D4676" t="s">
        <v>200</v>
      </c>
      <c r="E4676">
        <v>2633</v>
      </c>
      <c r="F4676" s="1">
        <v>0.20660000000000001</v>
      </c>
      <c r="G4676" s="1">
        <v>2.3E-3</v>
      </c>
      <c r="H4676" s="1">
        <v>0.24859999999999999</v>
      </c>
      <c r="I4676" s="1">
        <v>0.48570000000000002</v>
      </c>
      <c r="J4676" s="1">
        <v>5.6800000000000003E-2</v>
      </c>
    </row>
    <row r="4677" spans="1:10" x14ac:dyDescent="0.25">
      <c r="A4677" t="s">
        <v>198</v>
      </c>
      <c r="B4677" t="s">
        <v>228</v>
      </c>
      <c r="C4677">
        <v>112</v>
      </c>
      <c r="D4677" t="s">
        <v>200</v>
      </c>
      <c r="E4677">
        <v>2633</v>
      </c>
      <c r="F4677" s="1">
        <v>0.32129999999999997</v>
      </c>
      <c r="H4677" s="1">
        <v>0.22570000000000001</v>
      </c>
      <c r="I4677" s="1">
        <v>0.14230000000000001</v>
      </c>
      <c r="J4677" s="1">
        <v>0.31080000000000002</v>
      </c>
    </row>
    <row r="4678" spans="1:10" x14ac:dyDescent="0.25">
      <c r="A4678" t="s">
        <v>198</v>
      </c>
      <c r="B4678" t="s">
        <v>228</v>
      </c>
      <c r="C4678">
        <v>95</v>
      </c>
      <c r="D4678" t="s">
        <v>201</v>
      </c>
      <c r="E4678">
        <v>2633</v>
      </c>
      <c r="F4678" s="1">
        <v>0.2364</v>
      </c>
      <c r="H4678" s="1">
        <v>0.35849999999999999</v>
      </c>
      <c r="I4678" s="1">
        <v>0.23400000000000001</v>
      </c>
      <c r="J4678" s="1">
        <v>0.17119999999999999</v>
      </c>
    </row>
    <row r="4679" spans="1:10" x14ac:dyDescent="0.25">
      <c r="A4679" t="s">
        <v>198</v>
      </c>
      <c r="B4679" t="s">
        <v>229</v>
      </c>
      <c r="C4679">
        <v>155</v>
      </c>
      <c r="D4679" t="s">
        <v>201</v>
      </c>
      <c r="E4679">
        <v>2633</v>
      </c>
      <c r="F4679" s="1">
        <v>0.1827</v>
      </c>
      <c r="H4679" s="1">
        <v>0.36969999999999997</v>
      </c>
      <c r="I4679" s="1">
        <v>0.3422</v>
      </c>
      <c r="J4679" s="1">
        <v>0.10539999999999999</v>
      </c>
    </row>
    <row r="4680" spans="1:10" s="29" customFormat="1" x14ac:dyDescent="0.25">
      <c r="A4680" s="29" t="s">
        <v>198</v>
      </c>
      <c r="B4680" s="29" t="s">
        <v>228</v>
      </c>
      <c r="C4680" s="29">
        <v>28</v>
      </c>
      <c r="D4680" s="29" t="s">
        <v>202</v>
      </c>
      <c r="E4680" s="29">
        <v>2633</v>
      </c>
      <c r="F4680" s="30">
        <v>0.35389999999999999</v>
      </c>
      <c r="H4680" s="30">
        <v>0.35580000000000001</v>
      </c>
      <c r="I4680" s="30">
        <v>0.17960000000000001</v>
      </c>
      <c r="J4680" s="30">
        <v>0.11070000000000001</v>
      </c>
    </row>
    <row r="4681" spans="1:10" x14ac:dyDescent="0.25">
      <c r="A4681" t="s">
        <v>198</v>
      </c>
      <c r="B4681" t="s">
        <v>229</v>
      </c>
      <c r="C4681">
        <v>68</v>
      </c>
      <c r="D4681" t="s">
        <v>202</v>
      </c>
      <c r="E4681">
        <v>2633</v>
      </c>
      <c r="F4681" s="1">
        <v>0.40910000000000002</v>
      </c>
      <c r="H4681" s="1">
        <v>0.20730000000000001</v>
      </c>
      <c r="I4681" s="1">
        <v>0.2863</v>
      </c>
      <c r="J4681" s="1">
        <v>9.7299999999999998E-2</v>
      </c>
    </row>
    <row r="4682" spans="1:10" x14ac:dyDescent="0.25">
      <c r="A4682" t="s">
        <v>203</v>
      </c>
      <c r="B4682" t="s">
        <v>229</v>
      </c>
      <c r="C4682">
        <v>370</v>
      </c>
      <c r="D4682" t="s">
        <v>199</v>
      </c>
      <c r="E4682">
        <v>2633</v>
      </c>
      <c r="F4682" s="1">
        <v>0.1135</v>
      </c>
      <c r="H4682" s="1">
        <v>0.36420000000000002</v>
      </c>
      <c r="I4682" s="1">
        <v>0.44269999999999998</v>
      </c>
      <c r="J4682" s="1">
        <v>7.9600000000000004E-2</v>
      </c>
    </row>
    <row r="4683" spans="1:10" x14ac:dyDescent="0.25">
      <c r="A4683" t="s">
        <v>203</v>
      </c>
      <c r="B4683" t="s">
        <v>228</v>
      </c>
      <c r="C4683">
        <v>150</v>
      </c>
      <c r="D4683" t="s">
        <v>199</v>
      </c>
      <c r="E4683">
        <v>2633</v>
      </c>
      <c r="F4683" s="1">
        <v>9.3200000000000005E-2</v>
      </c>
      <c r="H4683" s="1">
        <v>0.29980000000000001</v>
      </c>
      <c r="I4683" s="1">
        <v>0.18290000000000001</v>
      </c>
      <c r="J4683" s="1">
        <v>0.42399999999999999</v>
      </c>
    </row>
    <row r="4684" spans="1:10" x14ac:dyDescent="0.25">
      <c r="A4684" t="s">
        <v>203</v>
      </c>
      <c r="B4684" t="s">
        <v>229</v>
      </c>
      <c r="C4684">
        <v>347</v>
      </c>
      <c r="D4684" t="s">
        <v>200</v>
      </c>
      <c r="E4684">
        <v>2633</v>
      </c>
      <c r="F4684" s="1">
        <v>0.10639999999999999</v>
      </c>
      <c r="H4684" s="1">
        <v>0.29659999999999997</v>
      </c>
      <c r="I4684" s="1">
        <v>0.56359999999999999</v>
      </c>
      <c r="J4684" s="1">
        <v>3.3399999999999999E-2</v>
      </c>
    </row>
    <row r="4685" spans="1:10" x14ac:dyDescent="0.25">
      <c r="A4685" t="s">
        <v>203</v>
      </c>
      <c r="B4685" t="s">
        <v>228</v>
      </c>
      <c r="C4685">
        <v>155</v>
      </c>
      <c r="D4685" t="s">
        <v>200</v>
      </c>
      <c r="E4685">
        <v>2633</v>
      </c>
      <c r="F4685" s="1">
        <v>0.24340000000000001</v>
      </c>
      <c r="H4685" s="1">
        <v>0.28060000000000002</v>
      </c>
      <c r="I4685" s="1">
        <v>0.3004</v>
      </c>
      <c r="J4685" s="1">
        <v>0.17560000000000001</v>
      </c>
    </row>
    <row r="4686" spans="1:10" x14ac:dyDescent="0.25">
      <c r="A4686" t="s">
        <v>203</v>
      </c>
      <c r="B4686" t="s">
        <v>229</v>
      </c>
      <c r="C4686">
        <v>137</v>
      </c>
      <c r="D4686" t="s">
        <v>201</v>
      </c>
      <c r="E4686">
        <v>2633</v>
      </c>
      <c r="F4686" s="1">
        <v>0.2298</v>
      </c>
      <c r="G4686" s="1">
        <v>1.5E-3</v>
      </c>
      <c r="H4686" s="1">
        <v>0.34749999999999998</v>
      </c>
      <c r="I4686" s="1">
        <v>0.26419999999999999</v>
      </c>
      <c r="J4686" s="1">
        <v>0.157</v>
      </c>
    </row>
    <row r="4687" spans="1:10" x14ac:dyDescent="0.25">
      <c r="A4687" t="s">
        <v>203</v>
      </c>
      <c r="B4687" t="s">
        <v>228</v>
      </c>
      <c r="C4687">
        <v>177</v>
      </c>
      <c r="D4687" t="s">
        <v>201</v>
      </c>
      <c r="E4687">
        <v>2633</v>
      </c>
      <c r="F4687" s="1">
        <v>7.3400000000000007E-2</v>
      </c>
      <c r="G4687" s="1">
        <v>1.12E-2</v>
      </c>
      <c r="H4687" s="1">
        <v>0.20730000000000001</v>
      </c>
      <c r="I4687" s="1">
        <v>0.1239</v>
      </c>
      <c r="J4687" s="1">
        <v>0.58430000000000004</v>
      </c>
    </row>
    <row r="4688" spans="1:10" x14ac:dyDescent="0.25">
      <c r="A4688" t="s">
        <v>203</v>
      </c>
      <c r="B4688" t="s">
        <v>228</v>
      </c>
      <c r="C4688">
        <v>34</v>
      </c>
      <c r="D4688" t="s">
        <v>202</v>
      </c>
      <c r="E4688">
        <v>2633</v>
      </c>
      <c r="F4688" s="1">
        <v>0.32200000000000001</v>
      </c>
      <c r="H4688" s="1">
        <v>0.33360000000000001</v>
      </c>
      <c r="I4688" s="1">
        <v>0.2465</v>
      </c>
      <c r="J4688" s="1">
        <v>9.7900000000000001E-2</v>
      </c>
    </row>
    <row r="4689" spans="1:10" x14ac:dyDescent="0.25">
      <c r="A4689" t="s">
        <v>203</v>
      </c>
      <c r="B4689" t="s">
        <v>229</v>
      </c>
      <c r="C4689">
        <v>56</v>
      </c>
      <c r="D4689" t="s">
        <v>202</v>
      </c>
      <c r="E4689">
        <v>2633</v>
      </c>
      <c r="F4689" s="1">
        <v>0.15160000000000001</v>
      </c>
      <c r="G4689" s="1">
        <v>6.8999999999999999E-3</v>
      </c>
      <c r="H4689" s="1">
        <v>0.2021</v>
      </c>
      <c r="I4689" s="1">
        <v>0.60150000000000003</v>
      </c>
      <c r="J4689" s="1">
        <v>3.7900000000000003E-2</v>
      </c>
    </row>
    <row r="4690" spans="1:10" x14ac:dyDescent="0.25">
      <c r="A4690" t="s">
        <v>204</v>
      </c>
      <c r="B4690" t="s">
        <v>204</v>
      </c>
      <c r="C4690">
        <v>2633</v>
      </c>
      <c r="D4690" t="s">
        <v>204</v>
      </c>
      <c r="E4690">
        <v>2633</v>
      </c>
      <c r="F4690" s="1">
        <v>0.20200000000000001</v>
      </c>
      <c r="G4690" s="1">
        <v>6.9999999999999999E-4</v>
      </c>
      <c r="H4690" s="1">
        <v>0.27029999999999998</v>
      </c>
      <c r="I4690" s="1">
        <v>0.41210000000000002</v>
      </c>
      <c r="J4690" s="1">
        <v>0.1149</v>
      </c>
    </row>
    <row r="4692" spans="1:10" x14ac:dyDescent="0.25">
      <c r="A4692" t="s">
        <v>1012</v>
      </c>
    </row>
    <row r="4693" spans="1:10" x14ac:dyDescent="0.25">
      <c r="A4693" t="s">
        <v>190</v>
      </c>
      <c r="B4693" t="s">
        <v>206</v>
      </c>
      <c r="C4693" t="s">
        <v>195</v>
      </c>
      <c r="D4693" t="s">
        <v>189</v>
      </c>
      <c r="E4693" t="s">
        <v>196</v>
      </c>
      <c r="F4693" t="s">
        <v>1007</v>
      </c>
      <c r="G4693" t="s">
        <v>215</v>
      </c>
      <c r="H4693" t="s">
        <v>1008</v>
      </c>
      <c r="I4693" t="s">
        <v>1009</v>
      </c>
      <c r="J4693" t="s">
        <v>1010</v>
      </c>
    </row>
    <row r="4694" spans="1:10" x14ac:dyDescent="0.25">
      <c r="A4694" t="s">
        <v>198</v>
      </c>
      <c r="B4694" t="s">
        <v>348</v>
      </c>
      <c r="C4694">
        <v>79</v>
      </c>
      <c r="D4694" t="s">
        <v>197</v>
      </c>
      <c r="E4694">
        <v>2633</v>
      </c>
      <c r="F4694" s="1">
        <v>0.25640000000000002</v>
      </c>
      <c r="H4694" s="1">
        <v>0.23139999999999999</v>
      </c>
      <c r="I4694" s="1">
        <v>0.28270000000000001</v>
      </c>
      <c r="J4694" s="1">
        <v>0.22939999999999999</v>
      </c>
    </row>
    <row r="4695" spans="1:10" s="29" customFormat="1" x14ac:dyDescent="0.25">
      <c r="A4695" s="29" t="s">
        <v>198</v>
      </c>
      <c r="B4695" s="29" t="s">
        <v>349</v>
      </c>
      <c r="C4695" s="29">
        <v>3</v>
      </c>
      <c r="D4695" s="29" t="s">
        <v>197</v>
      </c>
      <c r="E4695" s="29">
        <v>2633</v>
      </c>
      <c r="H4695" s="30">
        <v>0.33329999999999999</v>
      </c>
      <c r="J4695" s="30">
        <v>0.66669999999999996</v>
      </c>
    </row>
    <row r="4696" spans="1:10" x14ac:dyDescent="0.25">
      <c r="A4696" t="s">
        <v>198</v>
      </c>
      <c r="B4696" t="s">
        <v>348</v>
      </c>
      <c r="C4696">
        <v>54</v>
      </c>
      <c r="D4696" t="s">
        <v>199</v>
      </c>
      <c r="E4696">
        <v>2633</v>
      </c>
      <c r="F4696" s="1">
        <v>0.503</v>
      </c>
      <c r="H4696" s="1">
        <v>0.1008</v>
      </c>
      <c r="I4696" s="1">
        <v>0.1802</v>
      </c>
      <c r="J4696" s="1">
        <v>0.216</v>
      </c>
    </row>
    <row r="4697" spans="1:10" x14ac:dyDescent="0.25">
      <c r="A4697" t="s">
        <v>198</v>
      </c>
      <c r="B4697" t="s">
        <v>349</v>
      </c>
      <c r="C4697">
        <v>111</v>
      </c>
      <c r="D4697" t="s">
        <v>199</v>
      </c>
      <c r="E4697">
        <v>2633</v>
      </c>
      <c r="F4697" s="1">
        <v>0.26219999999999999</v>
      </c>
      <c r="H4697" s="1">
        <v>0.1056</v>
      </c>
      <c r="I4697" s="1">
        <v>0.49580000000000002</v>
      </c>
      <c r="J4697" s="1">
        <v>0.13639999999999999</v>
      </c>
    </row>
    <row r="4698" spans="1:10" x14ac:dyDescent="0.25">
      <c r="A4698" t="s">
        <v>198</v>
      </c>
      <c r="B4698" t="s">
        <v>350</v>
      </c>
      <c r="C4698">
        <v>193</v>
      </c>
      <c r="D4698" t="s">
        <v>199</v>
      </c>
      <c r="E4698">
        <v>2633</v>
      </c>
      <c r="F4698" s="1">
        <v>0.20549999999999999</v>
      </c>
      <c r="H4698" s="1">
        <v>0.20319999999999999</v>
      </c>
      <c r="I4698" s="1">
        <v>0.45</v>
      </c>
      <c r="J4698" s="1">
        <v>0.14130000000000001</v>
      </c>
    </row>
    <row r="4699" spans="1:10" x14ac:dyDescent="0.25">
      <c r="A4699" t="s">
        <v>198</v>
      </c>
      <c r="B4699" t="s">
        <v>350</v>
      </c>
      <c r="C4699">
        <v>78</v>
      </c>
      <c r="D4699" t="s">
        <v>200</v>
      </c>
      <c r="E4699">
        <v>2633</v>
      </c>
      <c r="F4699" s="1">
        <v>0.3009</v>
      </c>
      <c r="H4699" s="1">
        <v>0.2215</v>
      </c>
      <c r="I4699" s="1">
        <v>0.2392</v>
      </c>
      <c r="J4699" s="1">
        <v>0.2384</v>
      </c>
    </row>
    <row r="4700" spans="1:10" x14ac:dyDescent="0.25">
      <c r="A4700" t="s">
        <v>198</v>
      </c>
      <c r="B4700" t="s">
        <v>348</v>
      </c>
      <c r="C4700">
        <v>242</v>
      </c>
      <c r="D4700" t="s">
        <v>200</v>
      </c>
      <c r="E4700">
        <v>2633</v>
      </c>
      <c r="F4700" s="1">
        <v>0.22969999999999999</v>
      </c>
      <c r="G4700" s="1">
        <v>2E-3</v>
      </c>
      <c r="H4700" s="1">
        <v>0.23219999999999999</v>
      </c>
      <c r="I4700" s="1">
        <v>0.43730000000000002</v>
      </c>
      <c r="J4700" s="1">
        <v>9.8799999999999999E-2</v>
      </c>
    </row>
    <row r="4701" spans="1:10" x14ac:dyDescent="0.25">
      <c r="A4701" t="s">
        <v>198</v>
      </c>
      <c r="B4701" t="s">
        <v>349</v>
      </c>
      <c r="C4701">
        <v>62</v>
      </c>
      <c r="D4701" t="s">
        <v>200</v>
      </c>
      <c r="E4701">
        <v>2633</v>
      </c>
      <c r="F4701" s="1">
        <v>0.2051</v>
      </c>
      <c r="H4701" s="1">
        <v>0.43530000000000002</v>
      </c>
      <c r="I4701" s="1">
        <v>0.13619999999999999</v>
      </c>
      <c r="J4701" s="1">
        <v>0.22339999999999999</v>
      </c>
    </row>
    <row r="4702" spans="1:10" x14ac:dyDescent="0.25">
      <c r="A4702" t="s">
        <v>198</v>
      </c>
      <c r="B4702" t="s">
        <v>349</v>
      </c>
      <c r="C4702">
        <v>125</v>
      </c>
      <c r="D4702" t="s">
        <v>201</v>
      </c>
      <c r="E4702">
        <v>2633</v>
      </c>
      <c r="F4702" s="1">
        <v>0.16170000000000001</v>
      </c>
      <c r="H4702" s="1">
        <v>0.3916</v>
      </c>
      <c r="I4702" s="1">
        <v>0.33589999999999998</v>
      </c>
      <c r="J4702" s="1">
        <v>0.1108</v>
      </c>
    </row>
    <row r="4703" spans="1:10" x14ac:dyDescent="0.25">
      <c r="A4703" t="s">
        <v>198</v>
      </c>
      <c r="B4703" t="s">
        <v>350</v>
      </c>
      <c r="C4703">
        <v>63</v>
      </c>
      <c r="D4703" t="s">
        <v>201</v>
      </c>
      <c r="E4703">
        <v>2633</v>
      </c>
      <c r="F4703" s="1">
        <v>0.1229</v>
      </c>
      <c r="H4703" s="1">
        <v>0.25230000000000002</v>
      </c>
      <c r="I4703" s="1">
        <v>0.2462</v>
      </c>
      <c r="J4703" s="1">
        <v>0.37869999999999998</v>
      </c>
    </row>
    <row r="4704" spans="1:10" x14ac:dyDescent="0.25">
      <c r="A4704" t="s">
        <v>198</v>
      </c>
      <c r="B4704" t="s">
        <v>348</v>
      </c>
      <c r="C4704">
        <v>62</v>
      </c>
      <c r="D4704" t="s">
        <v>201</v>
      </c>
      <c r="E4704">
        <v>2633</v>
      </c>
      <c r="F4704" s="1">
        <v>0.29360000000000003</v>
      </c>
      <c r="H4704" s="1">
        <v>0.32290000000000002</v>
      </c>
      <c r="I4704" s="1">
        <v>0.28649999999999998</v>
      </c>
      <c r="J4704" s="1">
        <v>9.7000000000000003E-2</v>
      </c>
    </row>
    <row r="4705" spans="1:13" x14ac:dyDescent="0.25">
      <c r="A4705" t="s">
        <v>198</v>
      </c>
      <c r="B4705" t="s">
        <v>348</v>
      </c>
      <c r="C4705">
        <v>96</v>
      </c>
      <c r="D4705" t="s">
        <v>202</v>
      </c>
      <c r="E4705">
        <v>2633</v>
      </c>
      <c r="F4705" s="1">
        <v>0.39600000000000002</v>
      </c>
      <c r="H4705" s="1">
        <v>0.2424</v>
      </c>
      <c r="I4705" s="1">
        <v>0.2611</v>
      </c>
      <c r="J4705" s="1">
        <v>0.1004</v>
      </c>
    </row>
    <row r="4706" spans="1:13" x14ac:dyDescent="0.25">
      <c r="A4706" t="s">
        <v>203</v>
      </c>
      <c r="B4706" t="s">
        <v>349</v>
      </c>
      <c r="C4706">
        <v>171</v>
      </c>
      <c r="D4706" t="s">
        <v>199</v>
      </c>
      <c r="E4706">
        <v>2633</v>
      </c>
      <c r="F4706" s="1">
        <v>8.4500000000000006E-2</v>
      </c>
      <c r="H4706" s="1">
        <v>0.1971</v>
      </c>
      <c r="I4706" s="1">
        <v>0.57079999999999997</v>
      </c>
      <c r="J4706" s="1">
        <v>0.14760000000000001</v>
      </c>
    </row>
    <row r="4707" spans="1:13" x14ac:dyDescent="0.25">
      <c r="A4707" t="s">
        <v>203</v>
      </c>
      <c r="B4707" t="s">
        <v>348</v>
      </c>
      <c r="C4707">
        <v>42</v>
      </c>
      <c r="D4707" t="s">
        <v>199</v>
      </c>
      <c r="E4707">
        <v>2633</v>
      </c>
      <c r="F4707" s="1">
        <v>0.13830000000000001</v>
      </c>
      <c r="H4707" s="1">
        <v>0.29599999999999999</v>
      </c>
      <c r="I4707" s="1">
        <v>0.43540000000000001</v>
      </c>
      <c r="J4707" s="1">
        <v>0.13039999999999999</v>
      </c>
    </row>
    <row r="4708" spans="1:13" x14ac:dyDescent="0.25">
      <c r="A4708" t="s">
        <v>203</v>
      </c>
      <c r="B4708" t="s">
        <v>350</v>
      </c>
      <c r="C4708">
        <v>307</v>
      </c>
      <c r="D4708" t="s">
        <v>199</v>
      </c>
      <c r="E4708">
        <v>2633</v>
      </c>
      <c r="F4708" s="1">
        <v>0.1234</v>
      </c>
      <c r="H4708" s="1">
        <v>0.44369999999999998</v>
      </c>
      <c r="I4708" s="1">
        <v>0.33429999999999999</v>
      </c>
      <c r="J4708" s="1">
        <v>9.8599999999999993E-2</v>
      </c>
    </row>
    <row r="4709" spans="1:13" x14ac:dyDescent="0.25">
      <c r="A4709" t="s">
        <v>203</v>
      </c>
      <c r="B4709" t="s">
        <v>348</v>
      </c>
      <c r="C4709">
        <v>300</v>
      </c>
      <c r="D4709" t="s">
        <v>200</v>
      </c>
      <c r="E4709">
        <v>2633</v>
      </c>
      <c r="F4709" s="1">
        <v>0.12720000000000001</v>
      </c>
      <c r="H4709" s="1">
        <v>0.2974</v>
      </c>
      <c r="I4709" s="1">
        <v>0.52790000000000004</v>
      </c>
      <c r="J4709" s="1">
        <v>4.7600000000000003E-2</v>
      </c>
    </row>
    <row r="4710" spans="1:13" x14ac:dyDescent="0.25">
      <c r="A4710" t="s">
        <v>203</v>
      </c>
      <c r="B4710" t="s">
        <v>349</v>
      </c>
      <c r="C4710">
        <v>108</v>
      </c>
      <c r="D4710" t="s">
        <v>200</v>
      </c>
      <c r="E4710">
        <v>2633</v>
      </c>
      <c r="F4710" s="1">
        <v>0.2</v>
      </c>
      <c r="H4710" s="1">
        <v>0.23499999999999999</v>
      </c>
      <c r="I4710" s="1">
        <v>0.37759999999999999</v>
      </c>
      <c r="J4710" s="1">
        <v>0.18740000000000001</v>
      </c>
    </row>
    <row r="4711" spans="1:13" x14ac:dyDescent="0.25">
      <c r="A4711" t="s">
        <v>203</v>
      </c>
      <c r="B4711" t="s">
        <v>350</v>
      </c>
      <c r="C4711">
        <v>94</v>
      </c>
      <c r="D4711" t="s">
        <v>200</v>
      </c>
      <c r="E4711">
        <v>2633</v>
      </c>
      <c r="F4711" s="1">
        <v>0.1221</v>
      </c>
      <c r="H4711" s="1">
        <v>0.33169999999999999</v>
      </c>
      <c r="I4711" s="1">
        <v>0.43309999999999998</v>
      </c>
      <c r="J4711" s="1">
        <v>0.11310000000000001</v>
      </c>
    </row>
    <row r="4712" spans="1:13" x14ac:dyDescent="0.25">
      <c r="A4712" t="s">
        <v>203</v>
      </c>
      <c r="B4712" t="s">
        <v>348</v>
      </c>
      <c r="C4712">
        <v>62</v>
      </c>
      <c r="D4712" t="s">
        <v>201</v>
      </c>
      <c r="E4712">
        <v>2633</v>
      </c>
      <c r="F4712" s="1">
        <v>5.9200000000000003E-2</v>
      </c>
      <c r="G4712" s="1">
        <v>2.4299999999999999E-2</v>
      </c>
      <c r="H4712" s="1">
        <v>0.38500000000000001</v>
      </c>
      <c r="I4712" s="1">
        <v>0.19839999999999999</v>
      </c>
      <c r="J4712" s="1">
        <v>0.3332</v>
      </c>
    </row>
    <row r="4713" spans="1:13" x14ac:dyDescent="0.25">
      <c r="A4713" t="s">
        <v>203</v>
      </c>
      <c r="B4713" t="s">
        <v>349</v>
      </c>
      <c r="C4713">
        <v>147</v>
      </c>
      <c r="D4713" t="s">
        <v>201</v>
      </c>
      <c r="E4713">
        <v>2633</v>
      </c>
      <c r="F4713" s="1">
        <v>0.2054</v>
      </c>
      <c r="H4713" s="1">
        <v>0.30430000000000001</v>
      </c>
      <c r="I4713" s="1">
        <v>0.23330000000000001</v>
      </c>
      <c r="J4713" s="1">
        <v>0.25700000000000001</v>
      </c>
    </row>
    <row r="4714" spans="1:13" x14ac:dyDescent="0.25">
      <c r="A4714" t="s">
        <v>203</v>
      </c>
      <c r="B4714" t="s">
        <v>350</v>
      </c>
      <c r="C4714">
        <v>105</v>
      </c>
      <c r="D4714" t="s">
        <v>201</v>
      </c>
      <c r="E4714">
        <v>2633</v>
      </c>
      <c r="F4714" s="1">
        <v>0.24829999999999999</v>
      </c>
      <c r="G4714" s="1">
        <v>1.6199999999999999E-2</v>
      </c>
      <c r="H4714" s="1">
        <v>0.315</v>
      </c>
      <c r="I4714" s="1">
        <v>0.24959999999999999</v>
      </c>
      <c r="J4714" s="1">
        <v>0.1709</v>
      </c>
    </row>
    <row r="4715" spans="1:13" x14ac:dyDescent="0.25">
      <c r="A4715" t="s">
        <v>203</v>
      </c>
      <c r="B4715" t="s">
        <v>348</v>
      </c>
      <c r="C4715">
        <v>90</v>
      </c>
      <c r="D4715" t="s">
        <v>202</v>
      </c>
      <c r="E4715">
        <v>2633</v>
      </c>
      <c r="F4715" s="1">
        <v>0.19980000000000001</v>
      </c>
      <c r="G4715" s="1">
        <v>4.8999999999999998E-3</v>
      </c>
      <c r="H4715" s="1">
        <v>0.23930000000000001</v>
      </c>
      <c r="I4715" s="1">
        <v>0.50109999999999999</v>
      </c>
      <c r="J4715" s="1">
        <v>5.4899999999999997E-2</v>
      </c>
    </row>
    <row r="4716" spans="1:13" x14ac:dyDescent="0.25">
      <c r="A4716" t="s">
        <v>204</v>
      </c>
      <c r="B4716" t="s">
        <v>204</v>
      </c>
      <c r="C4716">
        <v>2633</v>
      </c>
      <c r="D4716" t="s">
        <v>204</v>
      </c>
      <c r="E4716">
        <v>2633</v>
      </c>
      <c r="F4716" s="1">
        <v>0.20200000000000001</v>
      </c>
      <c r="G4716" s="1">
        <v>6.9999999999999999E-4</v>
      </c>
      <c r="H4716" s="1">
        <v>0.27029999999999998</v>
      </c>
      <c r="I4716" s="1">
        <v>0.41210000000000002</v>
      </c>
      <c r="J4716" s="1">
        <v>0.1149</v>
      </c>
    </row>
    <row r="4718" spans="1:13" x14ac:dyDescent="0.25">
      <c r="A4718" t="s">
        <v>1013</v>
      </c>
    </row>
    <row r="4719" spans="1:13" x14ac:dyDescent="0.25">
      <c r="A4719" t="s">
        <v>190</v>
      </c>
      <c r="B4719" t="s">
        <v>195</v>
      </c>
      <c r="C4719" t="s">
        <v>189</v>
      </c>
      <c r="D4719" t="s">
        <v>196</v>
      </c>
      <c r="E4719" t="s">
        <v>220</v>
      </c>
      <c r="F4719" t="s">
        <v>937</v>
      </c>
      <c r="G4719" t="s">
        <v>1014</v>
      </c>
      <c r="H4719" t="s">
        <v>271</v>
      </c>
      <c r="I4719" t="s">
        <v>235</v>
      </c>
      <c r="J4719" t="s">
        <v>215</v>
      </c>
      <c r="K4719" t="s">
        <v>938</v>
      </c>
      <c r="L4719" t="s">
        <v>939</v>
      </c>
      <c r="M4719" t="s">
        <v>940</v>
      </c>
    </row>
    <row r="4720" spans="1:13" x14ac:dyDescent="0.25">
      <c r="A4720" t="s">
        <v>198</v>
      </c>
      <c r="B4720">
        <v>82</v>
      </c>
      <c r="C4720" t="s">
        <v>197</v>
      </c>
      <c r="D4720">
        <v>2632</v>
      </c>
      <c r="E4720" s="1">
        <v>0.1239</v>
      </c>
      <c r="F4720" s="1">
        <v>0.30020000000000002</v>
      </c>
      <c r="G4720" s="1">
        <v>4.2000000000000003E-2</v>
      </c>
      <c r="H4720" s="1">
        <v>0.26079999999999998</v>
      </c>
      <c r="I4720" s="1">
        <v>1.8499999999999999E-2</v>
      </c>
      <c r="J4720" s="1">
        <v>1.0999999999999999E-2</v>
      </c>
      <c r="K4720" s="1">
        <v>0.31159999999999999</v>
      </c>
      <c r="L4720" s="1">
        <v>0.35060000000000002</v>
      </c>
      <c r="M4720" s="1">
        <v>0.54369999999999996</v>
      </c>
    </row>
    <row r="4721" spans="1:14" x14ac:dyDescent="0.25">
      <c r="A4721" t="s">
        <v>198</v>
      </c>
      <c r="B4721">
        <v>367</v>
      </c>
      <c r="C4721" t="s">
        <v>199</v>
      </c>
      <c r="D4721">
        <v>2632</v>
      </c>
      <c r="E4721" s="1">
        <v>8.5300000000000001E-2</v>
      </c>
      <c r="F4721" s="1">
        <v>0.45450000000000002</v>
      </c>
      <c r="G4721" s="1">
        <v>5.5500000000000001E-2</v>
      </c>
      <c r="H4721" s="1">
        <v>0.24490000000000001</v>
      </c>
      <c r="I4721" s="1">
        <v>9.9000000000000008E-3</v>
      </c>
      <c r="J4721" s="1">
        <v>5.7000000000000002E-3</v>
      </c>
      <c r="K4721" s="1">
        <v>0.46400000000000002</v>
      </c>
      <c r="L4721" s="1">
        <v>0.442</v>
      </c>
      <c r="M4721" s="1">
        <v>0.55479999999999996</v>
      </c>
    </row>
    <row r="4722" spans="1:14" x14ac:dyDescent="0.25">
      <c r="A4722" t="s">
        <v>198</v>
      </c>
      <c r="B4722">
        <v>387</v>
      </c>
      <c r="C4722" t="s">
        <v>200</v>
      </c>
      <c r="D4722">
        <v>2632</v>
      </c>
      <c r="E4722" s="1">
        <v>0.104</v>
      </c>
      <c r="F4722" s="1">
        <v>0.30549999999999999</v>
      </c>
      <c r="G4722" s="1">
        <v>4.3099999999999999E-2</v>
      </c>
      <c r="H4722" s="1">
        <v>0.3306</v>
      </c>
      <c r="I4722" s="1">
        <v>3.2199999999999999E-2</v>
      </c>
      <c r="J4722" s="1">
        <v>4.7999999999999996E-3</v>
      </c>
      <c r="K4722" s="1">
        <v>0.33169999999999999</v>
      </c>
      <c r="L4722" s="1">
        <v>0.32829999999999998</v>
      </c>
      <c r="M4722" s="1">
        <v>0.44750000000000001</v>
      </c>
    </row>
    <row r="4723" spans="1:14" x14ac:dyDescent="0.25">
      <c r="A4723" t="s">
        <v>198</v>
      </c>
      <c r="B4723">
        <v>256</v>
      </c>
      <c r="C4723" t="s">
        <v>201</v>
      </c>
      <c r="D4723">
        <v>2632</v>
      </c>
      <c r="E4723" s="1">
        <v>8.5000000000000006E-2</v>
      </c>
      <c r="F4723" s="1">
        <v>0.2717</v>
      </c>
      <c r="G4723" s="1">
        <v>5.9499999999999997E-2</v>
      </c>
      <c r="H4723" s="1">
        <v>0.29820000000000002</v>
      </c>
      <c r="I4723" s="1">
        <v>2.6100000000000002E-2</v>
      </c>
      <c r="K4723" s="1">
        <v>0.34039999999999998</v>
      </c>
      <c r="L4723" s="1">
        <v>0.30759999999999998</v>
      </c>
      <c r="M4723" s="1">
        <v>0.48830000000000001</v>
      </c>
    </row>
    <row r="4724" spans="1:14" x14ac:dyDescent="0.25">
      <c r="A4724" t="s">
        <v>198</v>
      </c>
      <c r="B4724">
        <v>96</v>
      </c>
      <c r="C4724" t="s">
        <v>202</v>
      </c>
      <c r="D4724">
        <v>2632</v>
      </c>
      <c r="E4724" s="1">
        <v>6.7199999999999996E-2</v>
      </c>
      <c r="F4724" s="1">
        <v>0.33679999999999999</v>
      </c>
      <c r="G4724" s="1">
        <v>5.4100000000000002E-2</v>
      </c>
      <c r="H4724" s="1">
        <v>0.31469999999999998</v>
      </c>
      <c r="I4724" s="1">
        <v>9.4999999999999998E-3</v>
      </c>
      <c r="J4724" s="1">
        <v>2.7799999999999998E-2</v>
      </c>
      <c r="K4724" s="1">
        <v>0.37440000000000001</v>
      </c>
      <c r="L4724" s="1">
        <v>0.38940000000000002</v>
      </c>
      <c r="M4724" s="1">
        <v>0.51149999999999995</v>
      </c>
    </row>
    <row r="4725" spans="1:14" x14ac:dyDescent="0.25">
      <c r="A4725" t="s">
        <v>203</v>
      </c>
      <c r="B4725">
        <v>530</v>
      </c>
      <c r="C4725" t="s">
        <v>199</v>
      </c>
      <c r="D4725">
        <v>2632</v>
      </c>
      <c r="E4725" s="1">
        <v>3.3999999999999998E-3</v>
      </c>
      <c r="F4725" s="1">
        <v>4.2299999999999997E-2</v>
      </c>
      <c r="G4725" s="1">
        <v>0.7117</v>
      </c>
      <c r="H4725" s="1">
        <v>0.153</v>
      </c>
      <c r="I4725" s="1">
        <v>5.0000000000000001E-4</v>
      </c>
      <c r="J4725" s="1">
        <v>1.1000000000000001E-3</v>
      </c>
      <c r="K4725" s="1">
        <v>4.7399999999999998E-2</v>
      </c>
      <c r="L4725" s="1">
        <v>3.2500000000000001E-2</v>
      </c>
      <c r="M4725" s="1">
        <v>0.12330000000000001</v>
      </c>
    </row>
    <row r="4726" spans="1:14" x14ac:dyDescent="0.25">
      <c r="A4726" t="s">
        <v>203</v>
      </c>
      <c r="B4726">
        <v>503</v>
      </c>
      <c r="C4726" t="s">
        <v>200</v>
      </c>
      <c r="D4726">
        <v>2632</v>
      </c>
      <c r="E4726" s="1">
        <v>2.5999999999999999E-3</v>
      </c>
      <c r="F4726" s="1">
        <v>2.2800000000000001E-2</v>
      </c>
      <c r="G4726" s="1">
        <v>0.82589999999999997</v>
      </c>
      <c r="H4726" s="1">
        <v>0.1411</v>
      </c>
      <c r="J4726" s="1">
        <v>5.0000000000000001E-4</v>
      </c>
      <c r="K4726" s="1">
        <v>1.8700000000000001E-2</v>
      </c>
      <c r="L4726" s="1">
        <v>1.8800000000000001E-2</v>
      </c>
      <c r="M4726" s="1">
        <v>2.6100000000000002E-2</v>
      </c>
    </row>
    <row r="4727" spans="1:14" x14ac:dyDescent="0.25">
      <c r="A4727" t="s">
        <v>203</v>
      </c>
      <c r="B4727">
        <v>321</v>
      </c>
      <c r="C4727" t="s">
        <v>201</v>
      </c>
      <c r="D4727">
        <v>2632</v>
      </c>
      <c r="E4727" s="1">
        <v>2.5000000000000001E-3</v>
      </c>
      <c r="F4727" s="1">
        <v>2.46E-2</v>
      </c>
      <c r="G4727" s="1">
        <v>0.82669999999999999</v>
      </c>
      <c r="H4727" s="1">
        <v>0.12180000000000001</v>
      </c>
      <c r="I4727" s="1">
        <v>3.7000000000000002E-3</v>
      </c>
      <c r="J4727" s="1">
        <v>4.0000000000000002E-4</v>
      </c>
      <c r="K4727" s="1">
        <v>2.4400000000000002E-2</v>
      </c>
      <c r="L4727" s="1">
        <v>2.4299999999999999E-2</v>
      </c>
      <c r="M4727" s="1">
        <v>4.2299999999999997E-2</v>
      </c>
    </row>
    <row r="4728" spans="1:14" x14ac:dyDescent="0.25">
      <c r="A4728" t="s">
        <v>203</v>
      </c>
      <c r="B4728">
        <v>90</v>
      </c>
      <c r="C4728" t="s">
        <v>202</v>
      </c>
      <c r="D4728">
        <v>2632</v>
      </c>
      <c r="G4728" s="1">
        <v>0.83819999999999995</v>
      </c>
      <c r="H4728" s="1">
        <v>0.14419999999999999</v>
      </c>
      <c r="M4728" s="1">
        <v>1.7500000000000002E-2</v>
      </c>
    </row>
    <row r="4729" spans="1:14" x14ac:dyDescent="0.25">
      <c r="A4729" t="s">
        <v>204</v>
      </c>
      <c r="B4729">
        <v>2632</v>
      </c>
      <c r="C4729" t="s">
        <v>204</v>
      </c>
      <c r="D4729">
        <v>2632</v>
      </c>
      <c r="E4729" s="1">
        <v>4.3499999999999997E-2</v>
      </c>
      <c r="F4729" s="1">
        <v>0.1734</v>
      </c>
      <c r="G4729" s="1">
        <v>0.45669999999999999</v>
      </c>
      <c r="H4729" s="1">
        <v>0.2102</v>
      </c>
      <c r="I4729" s="1">
        <v>8.8999999999999999E-3</v>
      </c>
      <c r="J4729" s="1">
        <v>5.0000000000000001E-3</v>
      </c>
      <c r="K4729" s="1">
        <v>0.18479999999999999</v>
      </c>
      <c r="L4729" s="1">
        <v>0.18210000000000001</v>
      </c>
      <c r="M4729" s="1">
        <v>0.25979999999999998</v>
      </c>
    </row>
    <row r="4731" spans="1:14" x14ac:dyDescent="0.25">
      <c r="A4731" t="s">
        <v>1015</v>
      </c>
    </row>
    <row r="4732" spans="1:14" x14ac:dyDescent="0.25">
      <c r="A4732" t="s">
        <v>190</v>
      </c>
      <c r="B4732" t="s">
        <v>206</v>
      </c>
      <c r="C4732" t="s">
        <v>195</v>
      </c>
      <c r="D4732" t="s">
        <v>189</v>
      </c>
      <c r="E4732" t="s">
        <v>196</v>
      </c>
      <c r="F4732" t="s">
        <v>220</v>
      </c>
      <c r="G4732" t="s">
        <v>937</v>
      </c>
      <c r="H4732" t="s">
        <v>1014</v>
      </c>
      <c r="I4732" t="s">
        <v>271</v>
      </c>
      <c r="J4732" t="s">
        <v>235</v>
      </c>
      <c r="K4732" t="s">
        <v>215</v>
      </c>
      <c r="L4732" t="s">
        <v>938</v>
      </c>
      <c r="M4732" t="s">
        <v>939</v>
      </c>
      <c r="N4732" t="s">
        <v>940</v>
      </c>
    </row>
    <row r="4733" spans="1:14" x14ac:dyDescent="0.25">
      <c r="A4733" t="s">
        <v>198</v>
      </c>
      <c r="B4733" t="s">
        <v>228</v>
      </c>
      <c r="C4733">
        <v>33</v>
      </c>
      <c r="D4733" t="s">
        <v>197</v>
      </c>
      <c r="E4733">
        <v>2632</v>
      </c>
      <c r="F4733" s="1">
        <v>7.4700000000000003E-2</v>
      </c>
      <c r="G4733" s="1">
        <v>0.30990000000000001</v>
      </c>
      <c r="H4733" s="1">
        <v>0.08</v>
      </c>
      <c r="I4733" s="1">
        <v>0.32769999999999999</v>
      </c>
      <c r="J4733" s="1">
        <v>4.2900000000000001E-2</v>
      </c>
      <c r="L4733" s="1">
        <v>0.35799999999999998</v>
      </c>
      <c r="M4733" s="1">
        <v>0.35799999999999998</v>
      </c>
      <c r="N4733" s="1">
        <v>0.49199999999999999</v>
      </c>
    </row>
    <row r="4734" spans="1:14" x14ac:dyDescent="0.25">
      <c r="A4734" t="s">
        <v>198</v>
      </c>
      <c r="B4734" t="s">
        <v>229</v>
      </c>
      <c r="C4734">
        <v>49</v>
      </c>
      <c r="D4734" t="s">
        <v>197</v>
      </c>
      <c r="E4734">
        <v>2632</v>
      </c>
      <c r="F4734" s="1">
        <v>0.1613</v>
      </c>
      <c r="G4734" s="1">
        <v>0.29289999999999999</v>
      </c>
      <c r="H4734" s="1">
        <v>1.32E-2</v>
      </c>
      <c r="I4734" s="1">
        <v>0.2099</v>
      </c>
      <c r="K4734" s="1">
        <v>1.9400000000000001E-2</v>
      </c>
      <c r="L4734" s="1">
        <v>0.27629999999999999</v>
      </c>
      <c r="M4734" s="1">
        <v>0.34489999999999998</v>
      </c>
      <c r="N4734" s="1">
        <v>0.58309999999999995</v>
      </c>
    </row>
    <row r="4735" spans="1:14" x14ac:dyDescent="0.25">
      <c r="A4735" t="s">
        <v>198</v>
      </c>
      <c r="B4735" t="s">
        <v>228</v>
      </c>
      <c r="C4735">
        <v>144</v>
      </c>
      <c r="D4735" t="s">
        <v>199</v>
      </c>
      <c r="E4735">
        <v>2632</v>
      </c>
      <c r="F4735" s="1">
        <v>6.0299999999999999E-2</v>
      </c>
      <c r="G4735" s="1">
        <v>0.31609999999999999</v>
      </c>
      <c r="H4735" s="1">
        <v>0.13159999999999999</v>
      </c>
      <c r="I4735" s="1">
        <v>0.29049999999999998</v>
      </c>
      <c r="J4735" s="1">
        <v>2.0899999999999998E-2</v>
      </c>
      <c r="L4735" s="1">
        <v>0.35659999999999997</v>
      </c>
      <c r="M4735" s="1">
        <v>0.32890000000000003</v>
      </c>
      <c r="N4735" s="1">
        <v>0.43080000000000002</v>
      </c>
    </row>
    <row r="4736" spans="1:14" x14ac:dyDescent="0.25">
      <c r="A4736" t="s">
        <v>198</v>
      </c>
      <c r="B4736" t="s">
        <v>229</v>
      </c>
      <c r="C4736">
        <v>213</v>
      </c>
      <c r="D4736" t="s">
        <v>199</v>
      </c>
      <c r="E4736">
        <v>2632</v>
      </c>
      <c r="F4736" s="1">
        <v>9.4799999999999995E-2</v>
      </c>
      <c r="G4736" s="1">
        <v>0.50529999999999997</v>
      </c>
      <c r="H4736" s="1">
        <v>2.6800000000000001E-2</v>
      </c>
      <c r="I4736" s="1">
        <v>0.22650000000000001</v>
      </c>
      <c r="J4736" s="1">
        <v>6.1999999999999998E-3</v>
      </c>
      <c r="K4736" s="1">
        <v>7.7000000000000002E-3</v>
      </c>
      <c r="L4736" s="1">
        <v>0.50419999999999998</v>
      </c>
      <c r="M4736" s="1">
        <v>0.4839</v>
      </c>
      <c r="N4736" s="1">
        <v>0.60109999999999997</v>
      </c>
    </row>
    <row r="4737" spans="1:14" x14ac:dyDescent="0.25">
      <c r="A4737" t="s">
        <v>198</v>
      </c>
      <c r="B4737" t="s">
        <v>229</v>
      </c>
      <c r="C4737">
        <v>270</v>
      </c>
      <c r="D4737" t="s">
        <v>200</v>
      </c>
      <c r="E4737">
        <v>2632</v>
      </c>
      <c r="F4737" s="1">
        <v>0.1166</v>
      </c>
      <c r="G4737" s="1">
        <v>0.29949999999999999</v>
      </c>
      <c r="H4737" s="1">
        <v>1.2800000000000001E-2</v>
      </c>
      <c r="I4737" s="1">
        <v>0.34499999999999997</v>
      </c>
      <c r="J4737" s="1">
        <v>2.4199999999999999E-2</v>
      </c>
      <c r="K4737" s="1">
        <v>2.3E-3</v>
      </c>
      <c r="L4737" s="1">
        <v>0.32419999999999999</v>
      </c>
      <c r="M4737" s="1">
        <v>0.31209999999999999</v>
      </c>
      <c r="N4737" s="1">
        <v>0.45540000000000003</v>
      </c>
    </row>
    <row r="4738" spans="1:14" x14ac:dyDescent="0.25">
      <c r="A4738" t="s">
        <v>198</v>
      </c>
      <c r="B4738" t="s">
        <v>228</v>
      </c>
      <c r="C4738">
        <v>112</v>
      </c>
      <c r="D4738" t="s">
        <v>200</v>
      </c>
      <c r="E4738">
        <v>2632</v>
      </c>
      <c r="F4738" s="1">
        <v>6.5699999999999995E-2</v>
      </c>
      <c r="G4738" s="1">
        <v>0.33429999999999999</v>
      </c>
      <c r="H4738" s="1">
        <v>0.14380000000000001</v>
      </c>
      <c r="I4738" s="1">
        <v>0.2828</v>
      </c>
      <c r="J4738" s="1">
        <v>5.9799999999999999E-2</v>
      </c>
      <c r="K4738" s="1">
        <v>1.3299999999999999E-2</v>
      </c>
      <c r="L4738" s="1">
        <v>0.3463</v>
      </c>
      <c r="M4738" s="1">
        <v>0.37209999999999999</v>
      </c>
      <c r="N4738" s="1">
        <v>0.41470000000000001</v>
      </c>
    </row>
    <row r="4739" spans="1:14" x14ac:dyDescent="0.25">
      <c r="A4739" t="s">
        <v>198</v>
      </c>
      <c r="B4739" t="s">
        <v>228</v>
      </c>
      <c r="C4739">
        <v>95</v>
      </c>
      <c r="D4739" t="s">
        <v>201</v>
      </c>
      <c r="E4739">
        <v>2632</v>
      </c>
      <c r="F4739" s="1">
        <v>0.1449</v>
      </c>
      <c r="G4739" s="1">
        <v>0.19850000000000001</v>
      </c>
      <c r="H4739" s="1">
        <v>7.0999999999999994E-2</v>
      </c>
      <c r="I4739" s="1">
        <v>0.33029999999999998</v>
      </c>
      <c r="J4739" s="1">
        <v>2.1299999999999999E-2</v>
      </c>
      <c r="L4739" s="1">
        <v>0.30630000000000002</v>
      </c>
      <c r="M4739" s="1">
        <v>0.22939999999999999</v>
      </c>
      <c r="N4739" s="1">
        <v>0.41460000000000002</v>
      </c>
    </row>
    <row r="4740" spans="1:14" x14ac:dyDescent="0.25">
      <c r="A4740" t="s">
        <v>198</v>
      </c>
      <c r="B4740" t="s">
        <v>229</v>
      </c>
      <c r="C4740">
        <v>155</v>
      </c>
      <c r="D4740" t="s">
        <v>201</v>
      </c>
      <c r="E4740">
        <v>2632</v>
      </c>
      <c r="F4740" s="1">
        <v>6.8900000000000003E-2</v>
      </c>
      <c r="G4740" s="1">
        <v>0.2893</v>
      </c>
      <c r="H4740" s="1">
        <v>5.7200000000000001E-2</v>
      </c>
      <c r="I4740" s="1">
        <v>0.29270000000000002</v>
      </c>
      <c r="J4740" s="1">
        <v>2.7699999999999999E-2</v>
      </c>
      <c r="L4740" s="1">
        <v>0.34860000000000002</v>
      </c>
      <c r="M4740" s="1">
        <v>0.32740000000000002</v>
      </c>
      <c r="N4740" s="1">
        <v>0.50329999999999997</v>
      </c>
    </row>
    <row r="4741" spans="1:14" s="29" customFormat="1" x14ac:dyDescent="0.25">
      <c r="A4741" s="29" t="s">
        <v>198</v>
      </c>
      <c r="B4741" s="29" t="s">
        <v>228</v>
      </c>
      <c r="C4741" s="29">
        <v>28</v>
      </c>
      <c r="D4741" s="29" t="s">
        <v>202</v>
      </c>
      <c r="E4741" s="29">
        <v>2632</v>
      </c>
      <c r="G4741" s="30">
        <v>0.4768</v>
      </c>
      <c r="I4741" s="30">
        <v>0.2903</v>
      </c>
      <c r="K4741" s="30">
        <v>0.11749999999999999</v>
      </c>
      <c r="L4741" s="30">
        <v>0.59219999999999995</v>
      </c>
      <c r="M4741" s="30">
        <v>0.48749999999999999</v>
      </c>
      <c r="N4741" s="30">
        <v>0.52759999999999996</v>
      </c>
    </row>
    <row r="4742" spans="1:14" x14ac:dyDescent="0.25">
      <c r="A4742" t="s">
        <v>198</v>
      </c>
      <c r="B4742" t="s">
        <v>229</v>
      </c>
      <c r="C4742">
        <v>68</v>
      </c>
      <c r="D4742" t="s">
        <v>202</v>
      </c>
      <c r="E4742">
        <v>2632</v>
      </c>
      <c r="F4742" s="1">
        <v>8.7999999999999995E-2</v>
      </c>
      <c r="G4742" s="1">
        <v>0.29349999999999998</v>
      </c>
      <c r="H4742" s="1">
        <v>7.0900000000000005E-2</v>
      </c>
      <c r="I4742" s="1">
        <v>0.32219999999999999</v>
      </c>
      <c r="J4742" s="1">
        <v>1.24E-2</v>
      </c>
      <c r="L4742" s="1">
        <v>0.30690000000000001</v>
      </c>
      <c r="M4742" s="1">
        <v>0.35899999999999999</v>
      </c>
      <c r="N4742" s="1">
        <v>0.50649999999999995</v>
      </c>
    </row>
    <row r="4743" spans="1:14" x14ac:dyDescent="0.25">
      <c r="A4743" t="s">
        <v>203</v>
      </c>
      <c r="B4743" t="s">
        <v>229</v>
      </c>
      <c r="C4743">
        <v>370</v>
      </c>
      <c r="D4743" t="s">
        <v>199</v>
      </c>
      <c r="E4743">
        <v>2632</v>
      </c>
      <c r="F4743" s="1">
        <v>5.9999999999999995E-4</v>
      </c>
      <c r="G4743" s="1">
        <v>3.1399999999999997E-2</v>
      </c>
      <c r="H4743" s="1">
        <v>0.73070000000000002</v>
      </c>
      <c r="I4743" s="1">
        <v>0.1452</v>
      </c>
      <c r="J4743" s="1">
        <v>5.9999999999999995E-4</v>
      </c>
      <c r="K4743" s="1">
        <v>1.1999999999999999E-3</v>
      </c>
      <c r="L4743" s="1">
        <v>4.36E-2</v>
      </c>
      <c r="M4743" s="1">
        <v>2.86E-2</v>
      </c>
      <c r="N4743" s="1">
        <v>0.1164</v>
      </c>
    </row>
    <row r="4744" spans="1:14" x14ac:dyDescent="0.25">
      <c r="A4744" t="s">
        <v>203</v>
      </c>
      <c r="B4744" t="s">
        <v>228</v>
      </c>
      <c r="C4744">
        <v>150</v>
      </c>
      <c r="D4744" t="s">
        <v>199</v>
      </c>
      <c r="E4744">
        <v>2632</v>
      </c>
      <c r="F4744" s="1">
        <v>2.76E-2</v>
      </c>
      <c r="G4744" s="1">
        <v>0.1366</v>
      </c>
      <c r="H4744" s="1">
        <v>0.57389999999999997</v>
      </c>
      <c r="I4744" s="1">
        <v>0.19400000000000001</v>
      </c>
      <c r="L4744" s="1">
        <v>8.1000000000000003E-2</v>
      </c>
      <c r="M4744" s="1">
        <v>6.7400000000000002E-2</v>
      </c>
      <c r="N4744" s="1">
        <v>0.18240000000000001</v>
      </c>
    </row>
    <row r="4745" spans="1:14" x14ac:dyDescent="0.25">
      <c r="A4745" t="s">
        <v>203</v>
      </c>
      <c r="B4745" t="s">
        <v>229</v>
      </c>
      <c r="C4745">
        <v>347</v>
      </c>
      <c r="D4745" t="s">
        <v>200</v>
      </c>
      <c r="E4745">
        <v>2632</v>
      </c>
      <c r="F4745" s="1">
        <v>2.0000000000000001E-4</v>
      </c>
      <c r="G4745" s="1">
        <v>1.0500000000000001E-2</v>
      </c>
      <c r="H4745" s="1">
        <v>0.85170000000000001</v>
      </c>
      <c r="I4745" s="1">
        <v>0.13350000000000001</v>
      </c>
      <c r="K4745" s="1">
        <v>5.9999999999999995E-4</v>
      </c>
      <c r="L4745" s="1">
        <v>8.8999999999999999E-3</v>
      </c>
      <c r="M4745" s="1">
        <v>1.0699999999999999E-2</v>
      </c>
      <c r="N4745" s="1">
        <v>1.4E-2</v>
      </c>
    </row>
    <row r="4746" spans="1:14" x14ac:dyDescent="0.25">
      <c r="A4746" t="s">
        <v>203</v>
      </c>
      <c r="B4746" t="s">
        <v>228</v>
      </c>
      <c r="C4746">
        <v>155</v>
      </c>
      <c r="D4746" t="s">
        <v>200</v>
      </c>
      <c r="E4746">
        <v>2632</v>
      </c>
      <c r="F4746" s="1">
        <v>1.23E-2</v>
      </c>
      <c r="G4746" s="1">
        <v>7.4099999999999999E-2</v>
      </c>
      <c r="H4746" s="1">
        <v>0.71840000000000004</v>
      </c>
      <c r="I4746" s="1">
        <v>0.1726</v>
      </c>
      <c r="L4746" s="1">
        <v>5.9700000000000003E-2</v>
      </c>
      <c r="M4746" s="1">
        <v>5.2699999999999997E-2</v>
      </c>
      <c r="N4746" s="1">
        <v>7.6799999999999993E-2</v>
      </c>
    </row>
    <row r="4747" spans="1:14" x14ac:dyDescent="0.25">
      <c r="A4747" t="s">
        <v>203</v>
      </c>
      <c r="B4747" t="s">
        <v>229</v>
      </c>
      <c r="C4747">
        <v>137</v>
      </c>
      <c r="D4747" t="s">
        <v>201</v>
      </c>
      <c r="E4747">
        <v>2632</v>
      </c>
      <c r="F4747" s="1">
        <v>3.0999999999999999E-3</v>
      </c>
      <c r="G4747" s="1">
        <v>1.4E-2</v>
      </c>
      <c r="H4747" s="1">
        <v>0.84289999999999998</v>
      </c>
      <c r="I4747" s="1">
        <v>0.1186</v>
      </c>
      <c r="J4747" s="1">
        <v>3.0999999999999999E-3</v>
      </c>
      <c r="L4747" s="1">
        <v>9.4000000000000004E-3</v>
      </c>
      <c r="M4747" s="1">
        <v>1.0999999999999999E-2</v>
      </c>
      <c r="N4747" s="1">
        <v>2.93E-2</v>
      </c>
    </row>
    <row r="4748" spans="1:14" x14ac:dyDescent="0.25">
      <c r="A4748" t="s">
        <v>203</v>
      </c>
      <c r="B4748" t="s">
        <v>228</v>
      </c>
      <c r="C4748">
        <v>177</v>
      </c>
      <c r="D4748" t="s">
        <v>201</v>
      </c>
      <c r="E4748">
        <v>2632</v>
      </c>
      <c r="F4748" s="1">
        <v>8.0000000000000004E-4</v>
      </c>
      <c r="G4748" s="1">
        <v>5.7599999999999998E-2</v>
      </c>
      <c r="H4748" s="1">
        <v>0.78080000000000005</v>
      </c>
      <c r="I4748" s="1">
        <v>0.12690000000000001</v>
      </c>
      <c r="J4748" s="1">
        <v>5.7000000000000002E-3</v>
      </c>
      <c r="K4748" s="1">
        <v>1.6000000000000001E-3</v>
      </c>
      <c r="L4748" s="1">
        <v>7.1499999999999994E-2</v>
      </c>
      <c r="M4748" s="1">
        <v>6.7000000000000004E-2</v>
      </c>
      <c r="N4748" s="1">
        <v>8.3400000000000002E-2</v>
      </c>
    </row>
    <row r="4749" spans="1:14" x14ac:dyDescent="0.25">
      <c r="A4749" t="s">
        <v>203</v>
      </c>
      <c r="B4749" t="s">
        <v>228</v>
      </c>
      <c r="C4749">
        <v>34</v>
      </c>
      <c r="D4749" t="s">
        <v>202</v>
      </c>
      <c r="E4749">
        <v>2632</v>
      </c>
      <c r="H4749" s="1">
        <v>0.90810000000000002</v>
      </c>
      <c r="I4749" s="1">
        <v>9.1899999999999996E-2</v>
      </c>
    </row>
    <row r="4750" spans="1:14" x14ac:dyDescent="0.25">
      <c r="A4750" t="s">
        <v>203</v>
      </c>
      <c r="B4750" t="s">
        <v>229</v>
      </c>
      <c r="C4750">
        <v>56</v>
      </c>
      <c r="D4750" t="s">
        <v>202</v>
      </c>
      <c r="E4750">
        <v>2632</v>
      </c>
      <c r="H4750" s="1">
        <v>0.81069999999999998</v>
      </c>
      <c r="I4750" s="1">
        <v>0.16489999999999999</v>
      </c>
      <c r="N4750" s="1">
        <v>2.4500000000000001E-2</v>
      </c>
    </row>
    <row r="4751" spans="1:14" x14ac:dyDescent="0.25">
      <c r="A4751" t="s">
        <v>204</v>
      </c>
      <c r="B4751" t="s">
        <v>204</v>
      </c>
      <c r="C4751">
        <v>2632</v>
      </c>
      <c r="D4751" t="s">
        <v>204</v>
      </c>
      <c r="E4751">
        <v>2632</v>
      </c>
      <c r="F4751" s="1">
        <v>4.3499999999999997E-2</v>
      </c>
      <c r="G4751" s="1">
        <v>0.1734</v>
      </c>
      <c r="H4751" s="1">
        <v>0.45669999999999999</v>
      </c>
      <c r="I4751" s="1">
        <v>0.2102</v>
      </c>
      <c r="J4751" s="1">
        <v>8.8999999999999999E-3</v>
      </c>
      <c r="K4751" s="1">
        <v>5.0000000000000001E-3</v>
      </c>
      <c r="L4751" s="1">
        <v>0.18479999999999999</v>
      </c>
      <c r="M4751" s="1">
        <v>0.18210000000000001</v>
      </c>
      <c r="N4751" s="1">
        <v>0.25979999999999998</v>
      </c>
    </row>
    <row r="4753" spans="1:14" x14ac:dyDescent="0.25">
      <c r="A4753" t="s">
        <v>1016</v>
      </c>
    </row>
    <row r="4754" spans="1:14" x14ac:dyDescent="0.25">
      <c r="A4754" t="s">
        <v>190</v>
      </c>
      <c r="B4754" t="s">
        <v>206</v>
      </c>
      <c r="C4754" t="s">
        <v>195</v>
      </c>
      <c r="D4754" t="s">
        <v>189</v>
      </c>
      <c r="E4754" t="s">
        <v>196</v>
      </c>
      <c r="F4754" t="s">
        <v>220</v>
      </c>
      <c r="G4754" t="s">
        <v>937</v>
      </c>
      <c r="H4754" t="s">
        <v>1014</v>
      </c>
      <c r="I4754" t="s">
        <v>271</v>
      </c>
      <c r="J4754" t="s">
        <v>235</v>
      </c>
      <c r="K4754" t="s">
        <v>215</v>
      </c>
      <c r="L4754" t="s">
        <v>938</v>
      </c>
      <c r="M4754" t="s">
        <v>939</v>
      </c>
      <c r="N4754" t="s">
        <v>940</v>
      </c>
    </row>
    <row r="4755" spans="1:14" x14ac:dyDescent="0.25">
      <c r="A4755" t="s">
        <v>198</v>
      </c>
      <c r="B4755" t="s">
        <v>348</v>
      </c>
      <c r="C4755">
        <v>79</v>
      </c>
      <c r="D4755" t="s">
        <v>197</v>
      </c>
      <c r="E4755">
        <v>2632</v>
      </c>
      <c r="F4755" s="1">
        <v>0.12809999999999999</v>
      </c>
      <c r="G4755" s="1">
        <v>0.29909999999999998</v>
      </c>
      <c r="H4755" s="1">
        <v>4.3499999999999997E-2</v>
      </c>
      <c r="I4755" s="1">
        <v>0.25829999999999997</v>
      </c>
      <c r="J4755" s="1">
        <v>1.9199999999999998E-2</v>
      </c>
      <c r="K4755" s="1">
        <v>1.14E-2</v>
      </c>
      <c r="L4755" s="1">
        <v>0.29949999999999999</v>
      </c>
      <c r="M4755" s="1">
        <v>0.35120000000000001</v>
      </c>
      <c r="N4755" s="1">
        <v>0.53949999999999998</v>
      </c>
    </row>
    <row r="4756" spans="1:14" s="29" customFormat="1" x14ac:dyDescent="0.25">
      <c r="A4756" s="29" t="s">
        <v>198</v>
      </c>
      <c r="B4756" s="29" t="s">
        <v>349</v>
      </c>
      <c r="C4756" s="29">
        <v>3</v>
      </c>
      <c r="D4756" s="29" t="s">
        <v>197</v>
      </c>
      <c r="E4756" s="29">
        <v>2632</v>
      </c>
      <c r="G4756" s="30">
        <v>0.33329999999999999</v>
      </c>
      <c r="I4756" s="30">
        <v>0.33329999999999999</v>
      </c>
      <c r="L4756" s="30">
        <v>0.66669999999999996</v>
      </c>
      <c r="M4756" s="30">
        <v>0.33329999999999999</v>
      </c>
      <c r="N4756" s="30">
        <v>0.66669999999999996</v>
      </c>
    </row>
    <row r="4757" spans="1:14" x14ac:dyDescent="0.25">
      <c r="A4757" t="s">
        <v>198</v>
      </c>
      <c r="B4757" t="s">
        <v>348</v>
      </c>
      <c r="C4757">
        <v>53</v>
      </c>
      <c r="D4757" t="s">
        <v>199</v>
      </c>
      <c r="E4757">
        <v>2632</v>
      </c>
      <c r="F4757" s="1">
        <v>4.0099999999999997E-2</v>
      </c>
      <c r="G4757" s="1">
        <v>0.40899999999999997</v>
      </c>
      <c r="H4757" s="1">
        <v>9.4100000000000003E-2</v>
      </c>
      <c r="I4757" s="1">
        <v>0.33879999999999999</v>
      </c>
      <c r="J4757" s="1">
        <v>1.09E-2</v>
      </c>
      <c r="L4757" s="1">
        <v>0.39839999999999998</v>
      </c>
      <c r="M4757" s="1">
        <v>0.44059999999999999</v>
      </c>
      <c r="N4757" s="1">
        <v>0.50139999999999996</v>
      </c>
    </row>
    <row r="4758" spans="1:14" x14ac:dyDescent="0.25">
      <c r="A4758" t="s">
        <v>198</v>
      </c>
      <c r="B4758" t="s">
        <v>349</v>
      </c>
      <c r="C4758">
        <v>111</v>
      </c>
      <c r="D4758" t="s">
        <v>199</v>
      </c>
      <c r="E4758">
        <v>2632</v>
      </c>
      <c r="F4758" s="1">
        <v>5.1900000000000002E-2</v>
      </c>
      <c r="G4758" s="1">
        <v>0.52690000000000003</v>
      </c>
      <c r="H4758" s="1">
        <v>8.5500000000000007E-2</v>
      </c>
      <c r="I4758" s="1">
        <v>0.16800000000000001</v>
      </c>
      <c r="J4758" s="1">
        <v>1.03E-2</v>
      </c>
      <c r="K4758" s="1">
        <v>1.26E-2</v>
      </c>
      <c r="L4758" s="1">
        <v>0.53939999999999999</v>
      </c>
      <c r="M4758" s="1">
        <v>0.48399999999999999</v>
      </c>
      <c r="N4758" s="1">
        <v>0.61950000000000005</v>
      </c>
    </row>
    <row r="4759" spans="1:14" x14ac:dyDescent="0.25">
      <c r="A4759" t="s">
        <v>198</v>
      </c>
      <c r="B4759" t="s">
        <v>350</v>
      </c>
      <c r="C4759">
        <v>193</v>
      </c>
      <c r="D4759" t="s">
        <v>199</v>
      </c>
      <c r="E4759">
        <v>2632</v>
      </c>
      <c r="F4759" s="1">
        <v>0.13930000000000001</v>
      </c>
      <c r="G4759" s="1">
        <v>0.39429999999999998</v>
      </c>
      <c r="H4759" s="1">
        <v>4.8999999999999998E-3</v>
      </c>
      <c r="I4759" s="1">
        <v>0.29380000000000001</v>
      </c>
      <c r="J4759" s="1">
        <v>9.1999999999999998E-3</v>
      </c>
      <c r="L4759" s="1">
        <v>0.40760000000000002</v>
      </c>
      <c r="M4759" s="1">
        <v>0.40039999999999998</v>
      </c>
      <c r="N4759" s="1">
        <v>0.50700000000000001</v>
      </c>
    </row>
    <row r="4760" spans="1:14" x14ac:dyDescent="0.25">
      <c r="A4760" t="s">
        <v>198</v>
      </c>
      <c r="B4760" t="s">
        <v>350</v>
      </c>
      <c r="C4760">
        <v>78</v>
      </c>
      <c r="D4760" t="s">
        <v>200</v>
      </c>
      <c r="E4760">
        <v>2632</v>
      </c>
      <c r="F4760" s="1">
        <v>2.8E-3</v>
      </c>
      <c r="G4760" s="1">
        <v>0.1948</v>
      </c>
      <c r="I4760" s="1">
        <v>0.47439999999999999</v>
      </c>
      <c r="J4760" s="1">
        <v>6.4100000000000004E-2</v>
      </c>
      <c r="L4760" s="1">
        <v>0.32469999999999999</v>
      </c>
      <c r="M4760" s="1">
        <v>0.15579999999999999</v>
      </c>
      <c r="N4760" s="1">
        <v>0.44080000000000003</v>
      </c>
    </row>
    <row r="4761" spans="1:14" x14ac:dyDescent="0.25">
      <c r="A4761" t="s">
        <v>198</v>
      </c>
      <c r="B4761" t="s">
        <v>348</v>
      </c>
      <c r="C4761">
        <v>242</v>
      </c>
      <c r="D4761" t="s">
        <v>200</v>
      </c>
      <c r="E4761">
        <v>2632</v>
      </c>
      <c r="F4761" s="1">
        <v>0.11600000000000001</v>
      </c>
      <c r="G4761" s="1">
        <v>0.31409999999999999</v>
      </c>
      <c r="H4761" s="1">
        <v>4.6199999999999998E-2</v>
      </c>
      <c r="I4761" s="1">
        <v>0.316</v>
      </c>
      <c r="J4761" s="1">
        <v>3.0499999999999999E-2</v>
      </c>
      <c r="K4761" s="1">
        <v>5.4999999999999997E-3</v>
      </c>
      <c r="L4761" s="1">
        <v>0.33300000000000002</v>
      </c>
      <c r="M4761" s="1">
        <v>0.3382</v>
      </c>
      <c r="N4761" s="1">
        <v>0.45019999999999999</v>
      </c>
    </row>
    <row r="4762" spans="1:14" x14ac:dyDescent="0.25">
      <c r="A4762" t="s">
        <v>198</v>
      </c>
      <c r="B4762" t="s">
        <v>349</v>
      </c>
      <c r="C4762">
        <v>62</v>
      </c>
      <c r="D4762" t="s">
        <v>200</v>
      </c>
      <c r="E4762">
        <v>2632</v>
      </c>
      <c r="F4762" s="1">
        <v>0.06</v>
      </c>
      <c r="G4762" s="1">
        <v>0.34889999999999999</v>
      </c>
      <c r="H4762" s="1">
        <v>5.4399999999999997E-2</v>
      </c>
      <c r="I4762" s="1">
        <v>0.37159999999999999</v>
      </c>
      <c r="J4762" s="1">
        <v>2.4E-2</v>
      </c>
      <c r="L4762" s="1">
        <v>0.28139999999999998</v>
      </c>
      <c r="M4762" s="1">
        <v>0.35220000000000001</v>
      </c>
      <c r="N4762" s="1">
        <v>0.38850000000000001</v>
      </c>
    </row>
    <row r="4763" spans="1:14" x14ac:dyDescent="0.25">
      <c r="A4763" t="s">
        <v>198</v>
      </c>
      <c r="B4763" t="s">
        <v>349</v>
      </c>
      <c r="C4763">
        <v>125</v>
      </c>
      <c r="D4763" t="s">
        <v>201</v>
      </c>
      <c r="E4763">
        <v>2632</v>
      </c>
      <c r="F4763" s="1">
        <v>6.6600000000000006E-2</v>
      </c>
      <c r="G4763" s="1">
        <v>0.29830000000000001</v>
      </c>
      <c r="H4763" s="1">
        <v>4.6899999999999997E-2</v>
      </c>
      <c r="I4763" s="1">
        <v>0.25140000000000001</v>
      </c>
      <c r="J4763" s="1">
        <v>2.4400000000000002E-2</v>
      </c>
      <c r="L4763" s="1">
        <v>0.37490000000000001</v>
      </c>
      <c r="M4763" s="1">
        <v>0.3463</v>
      </c>
      <c r="N4763" s="1">
        <v>0.55200000000000005</v>
      </c>
    </row>
    <row r="4764" spans="1:14" x14ac:dyDescent="0.25">
      <c r="A4764" t="s">
        <v>198</v>
      </c>
      <c r="B4764" t="s">
        <v>350</v>
      </c>
      <c r="C4764">
        <v>63</v>
      </c>
      <c r="D4764" t="s">
        <v>201</v>
      </c>
      <c r="E4764">
        <v>2632</v>
      </c>
      <c r="F4764" s="1">
        <v>7.1400000000000005E-2</v>
      </c>
      <c r="G4764" s="1">
        <v>0.45350000000000001</v>
      </c>
      <c r="I4764" s="1">
        <v>0.1167</v>
      </c>
      <c r="J4764" s="1">
        <v>4.3299999999999998E-2</v>
      </c>
      <c r="L4764" s="1">
        <v>0.55389999999999995</v>
      </c>
      <c r="M4764" s="1">
        <v>0.4612</v>
      </c>
      <c r="N4764" s="1">
        <v>0.7833</v>
      </c>
    </row>
    <row r="4765" spans="1:14" x14ac:dyDescent="0.25">
      <c r="A4765" t="s">
        <v>198</v>
      </c>
      <c r="B4765" t="s">
        <v>348</v>
      </c>
      <c r="C4765">
        <v>62</v>
      </c>
      <c r="D4765" t="s">
        <v>201</v>
      </c>
      <c r="E4765">
        <v>2632</v>
      </c>
      <c r="F4765" s="1">
        <v>0.13719999999999999</v>
      </c>
      <c r="G4765" s="1">
        <v>0.1613</v>
      </c>
      <c r="H4765" s="1">
        <v>0.1062</v>
      </c>
      <c r="I4765" s="1">
        <v>0.46479999999999999</v>
      </c>
      <c r="J4765" s="1">
        <v>2.86E-2</v>
      </c>
      <c r="L4765" s="1">
        <v>0.2074</v>
      </c>
      <c r="M4765" s="1">
        <v>0.1726</v>
      </c>
      <c r="N4765" s="1">
        <v>0.25080000000000002</v>
      </c>
    </row>
    <row r="4766" spans="1:14" x14ac:dyDescent="0.25">
      <c r="A4766" t="s">
        <v>198</v>
      </c>
      <c r="B4766" t="s">
        <v>348</v>
      </c>
      <c r="C4766">
        <v>96</v>
      </c>
      <c r="D4766" t="s">
        <v>202</v>
      </c>
      <c r="E4766">
        <v>2632</v>
      </c>
      <c r="F4766" s="1">
        <v>6.7199999999999996E-2</v>
      </c>
      <c r="G4766" s="1">
        <v>0.33679999999999999</v>
      </c>
      <c r="H4766" s="1">
        <v>5.4100000000000002E-2</v>
      </c>
      <c r="I4766" s="1">
        <v>0.31469999999999998</v>
      </c>
      <c r="J4766" s="1">
        <v>9.4999999999999998E-3</v>
      </c>
      <c r="K4766" s="1">
        <v>2.7799999999999998E-2</v>
      </c>
      <c r="L4766" s="1">
        <v>0.37440000000000001</v>
      </c>
      <c r="M4766" s="1">
        <v>0.38940000000000002</v>
      </c>
      <c r="N4766" s="1">
        <v>0.51149999999999995</v>
      </c>
    </row>
    <row r="4767" spans="1:14" x14ac:dyDescent="0.25">
      <c r="A4767" t="s">
        <v>203</v>
      </c>
      <c r="B4767" t="s">
        <v>349</v>
      </c>
      <c r="C4767">
        <v>171</v>
      </c>
      <c r="D4767" t="s">
        <v>199</v>
      </c>
      <c r="E4767">
        <v>2632</v>
      </c>
      <c r="F4767" s="1">
        <v>6.4000000000000003E-3</v>
      </c>
      <c r="G4767" s="1">
        <v>1.83E-2</v>
      </c>
      <c r="H4767" s="1">
        <v>0.8508</v>
      </c>
      <c r="I4767" s="1">
        <v>9.1200000000000003E-2</v>
      </c>
      <c r="J4767" s="1">
        <v>1.6000000000000001E-3</v>
      </c>
      <c r="K4767" s="1">
        <v>1.6999999999999999E-3</v>
      </c>
      <c r="L4767" s="1">
        <v>2.5899999999999999E-2</v>
      </c>
      <c r="M4767" s="1">
        <v>1.84E-2</v>
      </c>
      <c r="N4767" s="1">
        <v>3.8899999999999997E-2</v>
      </c>
    </row>
    <row r="4768" spans="1:14" x14ac:dyDescent="0.25">
      <c r="A4768" t="s">
        <v>203</v>
      </c>
      <c r="B4768" t="s">
        <v>348</v>
      </c>
      <c r="C4768">
        <v>42</v>
      </c>
      <c r="D4768" t="s">
        <v>199</v>
      </c>
      <c r="E4768">
        <v>2632</v>
      </c>
      <c r="F4768" s="1">
        <v>5.1000000000000004E-3</v>
      </c>
      <c r="H4768" s="1">
        <v>0.92989999999999995</v>
      </c>
      <c r="I4768" s="1">
        <v>5.5E-2</v>
      </c>
      <c r="N4768" s="1">
        <v>0.01</v>
      </c>
    </row>
    <row r="4769" spans="1:14" x14ac:dyDescent="0.25">
      <c r="A4769" t="s">
        <v>203</v>
      </c>
      <c r="B4769" t="s">
        <v>350</v>
      </c>
      <c r="C4769">
        <v>307</v>
      </c>
      <c r="D4769" t="s">
        <v>199</v>
      </c>
      <c r="E4769">
        <v>2632</v>
      </c>
      <c r="F4769" s="1">
        <v>1.8E-3</v>
      </c>
      <c r="G4769" s="1">
        <v>5.7700000000000001E-2</v>
      </c>
      <c r="H4769" s="1">
        <v>0.62980000000000003</v>
      </c>
      <c r="I4769" s="1">
        <v>0.187</v>
      </c>
      <c r="K4769" s="1">
        <v>8.0000000000000004E-4</v>
      </c>
      <c r="L4769" s="1">
        <v>6.1899999999999997E-2</v>
      </c>
      <c r="M4769" s="1">
        <v>4.2099999999999999E-2</v>
      </c>
      <c r="N4769" s="1">
        <v>0.17419999999999999</v>
      </c>
    </row>
    <row r="4770" spans="1:14" x14ac:dyDescent="0.25">
      <c r="A4770" t="s">
        <v>203</v>
      </c>
      <c r="B4770" t="s">
        <v>348</v>
      </c>
      <c r="C4770">
        <v>300</v>
      </c>
      <c r="D4770" t="s">
        <v>200</v>
      </c>
      <c r="E4770">
        <v>2632</v>
      </c>
      <c r="F4770" s="1">
        <v>2.7000000000000001E-3</v>
      </c>
      <c r="G4770" s="1">
        <v>2.4E-2</v>
      </c>
      <c r="H4770" s="1">
        <v>0.83989999999999998</v>
      </c>
      <c r="I4770" s="1">
        <v>0.12920000000000001</v>
      </c>
      <c r="L4770" s="1">
        <v>1.9099999999999999E-2</v>
      </c>
      <c r="M4770" s="1">
        <v>1.9300000000000001E-2</v>
      </c>
      <c r="N4770" s="1">
        <v>2.4E-2</v>
      </c>
    </row>
    <row r="4771" spans="1:14" x14ac:dyDescent="0.25">
      <c r="A4771" t="s">
        <v>203</v>
      </c>
      <c r="B4771" t="s">
        <v>349</v>
      </c>
      <c r="C4771">
        <v>108</v>
      </c>
      <c r="D4771" t="s">
        <v>200</v>
      </c>
      <c r="E4771">
        <v>2632</v>
      </c>
      <c r="F4771" s="1">
        <v>8.9999999999999998E-4</v>
      </c>
      <c r="H4771" s="1">
        <v>0.91339999999999999</v>
      </c>
      <c r="I4771" s="1">
        <v>7.8299999999999995E-2</v>
      </c>
      <c r="N4771" s="1">
        <v>7.4000000000000003E-3</v>
      </c>
    </row>
    <row r="4772" spans="1:14" x14ac:dyDescent="0.25">
      <c r="A4772" t="s">
        <v>203</v>
      </c>
      <c r="B4772" t="s">
        <v>350</v>
      </c>
      <c r="C4772">
        <v>94</v>
      </c>
      <c r="D4772" t="s">
        <v>200</v>
      </c>
      <c r="E4772">
        <v>2632</v>
      </c>
      <c r="F4772" s="1">
        <v>3.3999999999999998E-3</v>
      </c>
      <c r="G4772" s="1">
        <v>4.65E-2</v>
      </c>
      <c r="H4772" s="1">
        <v>0.24329999999999999</v>
      </c>
      <c r="I4772" s="1">
        <v>0.60709999999999997</v>
      </c>
      <c r="K4772" s="1">
        <v>1.55E-2</v>
      </c>
      <c r="L4772" s="1">
        <v>5.33E-2</v>
      </c>
      <c r="M4772" s="1">
        <v>4.9799999999999997E-2</v>
      </c>
      <c r="N4772" s="1">
        <v>0.12720000000000001</v>
      </c>
    </row>
    <row r="4773" spans="1:14" x14ac:dyDescent="0.25">
      <c r="A4773" t="s">
        <v>203</v>
      </c>
      <c r="B4773" t="s">
        <v>348</v>
      </c>
      <c r="C4773">
        <v>62</v>
      </c>
      <c r="D4773" t="s">
        <v>201</v>
      </c>
      <c r="E4773">
        <v>2632</v>
      </c>
      <c r="H4773" s="1">
        <v>0.80469999999999997</v>
      </c>
      <c r="I4773" s="1">
        <v>0.1953</v>
      </c>
    </row>
    <row r="4774" spans="1:14" x14ac:dyDescent="0.25">
      <c r="A4774" t="s">
        <v>203</v>
      </c>
      <c r="B4774" t="s">
        <v>349</v>
      </c>
      <c r="C4774">
        <v>147</v>
      </c>
      <c r="D4774" t="s">
        <v>201</v>
      </c>
      <c r="E4774">
        <v>2632</v>
      </c>
      <c r="G4774" s="1">
        <v>2.3199999999999998E-2</v>
      </c>
      <c r="H4774" s="1">
        <v>0.89119999999999999</v>
      </c>
      <c r="I4774" s="1">
        <v>8.2299999999999998E-2</v>
      </c>
      <c r="K4774" s="1">
        <v>2.0000000000000001E-4</v>
      </c>
      <c r="L4774" s="1">
        <v>1.54E-2</v>
      </c>
      <c r="M4774" s="1">
        <v>1.5800000000000002E-2</v>
      </c>
      <c r="N4774" s="1">
        <v>2.5999999999999999E-2</v>
      </c>
    </row>
    <row r="4775" spans="1:14" x14ac:dyDescent="0.25">
      <c r="A4775" t="s">
        <v>203</v>
      </c>
      <c r="B4775" t="s">
        <v>350</v>
      </c>
      <c r="C4775">
        <v>105</v>
      </c>
      <c r="D4775" t="s">
        <v>201</v>
      </c>
      <c r="E4775">
        <v>2632</v>
      </c>
      <c r="F4775" s="1">
        <v>3.5200000000000002E-2</v>
      </c>
      <c r="G4775" s="1">
        <v>7.6200000000000004E-2</v>
      </c>
      <c r="H4775" s="1">
        <v>0.1429</v>
      </c>
      <c r="I4775" s="1">
        <v>0.44219999999999998</v>
      </c>
      <c r="J4775" s="1">
        <v>5.1499999999999997E-2</v>
      </c>
      <c r="K4775" s="1">
        <v>2.8E-3</v>
      </c>
      <c r="L4775" s="1">
        <v>0.16320000000000001</v>
      </c>
      <c r="M4775" s="1">
        <v>0.16009999999999999</v>
      </c>
      <c r="N4775" s="1">
        <v>0.29299999999999998</v>
      </c>
    </row>
    <row r="4776" spans="1:14" x14ac:dyDescent="0.25">
      <c r="A4776" t="s">
        <v>203</v>
      </c>
      <c r="B4776" t="s">
        <v>348</v>
      </c>
      <c r="C4776">
        <v>90</v>
      </c>
      <c r="D4776" t="s">
        <v>202</v>
      </c>
      <c r="E4776">
        <v>2632</v>
      </c>
      <c r="H4776" s="1">
        <v>0.83819999999999995</v>
      </c>
      <c r="I4776" s="1">
        <v>0.14419999999999999</v>
      </c>
      <c r="N4776" s="1">
        <v>1.7500000000000002E-2</v>
      </c>
    </row>
    <row r="4777" spans="1:14" x14ac:dyDescent="0.25">
      <c r="A4777" t="s">
        <v>204</v>
      </c>
      <c r="B4777" t="s">
        <v>204</v>
      </c>
      <c r="C4777">
        <v>2632</v>
      </c>
      <c r="D4777" t="s">
        <v>204</v>
      </c>
      <c r="E4777">
        <v>2632</v>
      </c>
      <c r="F4777" s="1">
        <v>4.3499999999999997E-2</v>
      </c>
      <c r="G4777" s="1">
        <v>0.1734</v>
      </c>
      <c r="H4777" s="1">
        <v>0.45669999999999999</v>
      </c>
      <c r="I4777" s="1">
        <v>0.2102</v>
      </c>
      <c r="J4777" s="1">
        <v>8.8999999999999999E-3</v>
      </c>
      <c r="K4777" s="1">
        <v>5.0000000000000001E-3</v>
      </c>
      <c r="L4777" s="1">
        <v>0.18479999999999999</v>
      </c>
      <c r="M4777" s="1">
        <v>0.18210000000000001</v>
      </c>
      <c r="N4777" s="1">
        <v>0.25979999999999998</v>
      </c>
    </row>
    <row r="4779" spans="1:14" x14ac:dyDescent="0.25">
      <c r="A4779" t="s">
        <v>1017</v>
      </c>
    </row>
    <row r="4780" spans="1:14" x14ac:dyDescent="0.25">
      <c r="A4780" t="s">
        <v>190</v>
      </c>
      <c r="B4780" t="s">
        <v>195</v>
      </c>
      <c r="C4780" t="s">
        <v>189</v>
      </c>
      <c r="D4780" t="s">
        <v>196</v>
      </c>
      <c r="E4780" t="s">
        <v>944</v>
      </c>
      <c r="F4780" t="s">
        <v>220</v>
      </c>
      <c r="G4780" t="s">
        <v>945</v>
      </c>
      <c r="H4780" t="s">
        <v>946</v>
      </c>
      <c r="I4780" t="s">
        <v>947</v>
      </c>
      <c r="J4780" t="s">
        <v>948</v>
      </c>
      <c r="K4780" t="s">
        <v>215</v>
      </c>
    </row>
    <row r="4781" spans="1:14" x14ac:dyDescent="0.25">
      <c r="A4781" t="s">
        <v>198</v>
      </c>
      <c r="B4781">
        <v>48</v>
      </c>
      <c r="C4781" t="s">
        <v>197</v>
      </c>
      <c r="D4781">
        <v>885</v>
      </c>
      <c r="E4781" s="1">
        <v>0.4269</v>
      </c>
      <c r="F4781" s="1">
        <v>2.6599999999999999E-2</v>
      </c>
      <c r="G4781" s="1">
        <v>2.4500000000000001E-2</v>
      </c>
      <c r="H4781" s="1">
        <v>0.2273</v>
      </c>
      <c r="I4781" s="1">
        <v>0.1148</v>
      </c>
      <c r="J4781" s="1">
        <v>0.1799</v>
      </c>
    </row>
    <row r="4782" spans="1:14" x14ac:dyDescent="0.25">
      <c r="A4782" t="s">
        <v>198</v>
      </c>
      <c r="B4782">
        <v>219</v>
      </c>
      <c r="C4782" t="s">
        <v>199</v>
      </c>
      <c r="D4782">
        <v>885</v>
      </c>
      <c r="E4782" s="1">
        <v>0.47249999999999998</v>
      </c>
      <c r="F4782" s="1">
        <v>8.0000000000000002E-3</v>
      </c>
      <c r="G4782" s="1">
        <v>5.0000000000000001E-4</v>
      </c>
      <c r="H4782" s="1">
        <v>0.36940000000000001</v>
      </c>
      <c r="I4782" s="1">
        <v>7.3700000000000002E-2</v>
      </c>
      <c r="J4782" s="1">
        <v>7.5899999999999995E-2</v>
      </c>
    </row>
    <row r="4783" spans="1:14" x14ac:dyDescent="0.25">
      <c r="A4783" t="s">
        <v>198</v>
      </c>
      <c r="B4783">
        <v>205</v>
      </c>
      <c r="C4783" t="s">
        <v>200</v>
      </c>
      <c r="D4783">
        <v>885</v>
      </c>
      <c r="E4783" s="1">
        <v>0.3695</v>
      </c>
      <c r="F4783" s="1">
        <v>1.8100000000000002E-2</v>
      </c>
      <c r="G4783" s="1">
        <v>5.5199999999999999E-2</v>
      </c>
      <c r="H4783" s="1">
        <v>0.33350000000000002</v>
      </c>
      <c r="I4783" s="1">
        <v>8.1199999999999994E-2</v>
      </c>
      <c r="J4783" s="1">
        <v>0.1424</v>
      </c>
    </row>
    <row r="4784" spans="1:14" x14ac:dyDescent="0.25">
      <c r="A4784" t="s">
        <v>198</v>
      </c>
      <c r="B4784">
        <v>163</v>
      </c>
      <c r="C4784" t="s">
        <v>201</v>
      </c>
      <c r="D4784">
        <v>885</v>
      </c>
      <c r="E4784" s="1">
        <v>0.3548</v>
      </c>
      <c r="F4784" s="1">
        <v>9.2999999999999992E-3</v>
      </c>
      <c r="G4784" s="1">
        <v>1.4800000000000001E-2</v>
      </c>
      <c r="H4784" s="1">
        <v>0.30959999999999999</v>
      </c>
      <c r="I4784" s="1">
        <v>0.1716</v>
      </c>
      <c r="J4784" s="1">
        <v>0.14000000000000001</v>
      </c>
    </row>
    <row r="4785" spans="1:12" x14ac:dyDescent="0.25">
      <c r="A4785" t="s">
        <v>198</v>
      </c>
      <c r="B4785">
        <v>49</v>
      </c>
      <c r="C4785" t="s">
        <v>202</v>
      </c>
      <c r="D4785">
        <v>885</v>
      </c>
      <c r="E4785" s="1">
        <v>0.5494</v>
      </c>
      <c r="G4785" s="1">
        <v>2.8500000000000001E-2</v>
      </c>
      <c r="H4785" s="1">
        <v>0.25790000000000002</v>
      </c>
      <c r="I4785" s="1">
        <v>0.1057</v>
      </c>
      <c r="J4785" s="1">
        <v>5.8599999999999999E-2</v>
      </c>
    </row>
    <row r="4786" spans="1:12" x14ac:dyDescent="0.25">
      <c r="A4786" t="s">
        <v>203</v>
      </c>
      <c r="B4786">
        <v>106</v>
      </c>
      <c r="C4786" t="s">
        <v>199</v>
      </c>
      <c r="D4786">
        <v>885</v>
      </c>
      <c r="E4786" s="1">
        <v>0.1832</v>
      </c>
      <c r="G4786" s="1">
        <v>4.4900000000000002E-2</v>
      </c>
      <c r="H4786" s="1">
        <v>0.1875</v>
      </c>
      <c r="I4786" s="1">
        <v>0.25480000000000003</v>
      </c>
      <c r="J4786" s="1">
        <v>0.3296</v>
      </c>
    </row>
    <row r="4787" spans="1:12" x14ac:dyDescent="0.25">
      <c r="A4787" t="s">
        <v>203</v>
      </c>
      <c r="B4787">
        <v>30</v>
      </c>
      <c r="C4787" t="s">
        <v>200</v>
      </c>
      <c r="D4787">
        <v>885</v>
      </c>
      <c r="E4787" s="1">
        <v>0.42</v>
      </c>
      <c r="F4787" s="1">
        <v>1.37E-2</v>
      </c>
      <c r="G4787" s="1">
        <v>6.1499999999999999E-2</v>
      </c>
      <c r="H4787" s="1">
        <v>0.29480000000000001</v>
      </c>
      <c r="I4787" s="1">
        <v>7.0300000000000001E-2</v>
      </c>
      <c r="J4787" s="1">
        <v>0.1227</v>
      </c>
      <c r="K4787" s="1">
        <v>1.7000000000000001E-2</v>
      </c>
    </row>
    <row r="4788" spans="1:12" x14ac:dyDescent="0.25">
      <c r="A4788" t="s">
        <v>203</v>
      </c>
      <c r="B4788">
        <v>63</v>
      </c>
      <c r="C4788" t="s">
        <v>201</v>
      </c>
      <c r="D4788">
        <v>885</v>
      </c>
      <c r="E4788" s="1">
        <v>7.2099999999999997E-2</v>
      </c>
      <c r="G4788" s="1">
        <v>5.1900000000000002E-2</v>
      </c>
      <c r="H4788" s="1">
        <v>0.2429</v>
      </c>
      <c r="I4788" s="1">
        <v>0.45019999999999999</v>
      </c>
      <c r="J4788" s="1">
        <v>0.18290000000000001</v>
      </c>
    </row>
    <row r="4789" spans="1:12" s="29" customFormat="1" x14ac:dyDescent="0.25">
      <c r="A4789" s="29" t="s">
        <v>203</v>
      </c>
      <c r="B4789" s="29">
        <v>2</v>
      </c>
      <c r="C4789" s="29" t="s">
        <v>202</v>
      </c>
      <c r="D4789" s="29">
        <v>885</v>
      </c>
      <c r="H4789" s="30">
        <v>0.5</v>
      </c>
      <c r="J4789" s="30">
        <v>0.5</v>
      </c>
    </row>
    <row r="4790" spans="1:12" x14ac:dyDescent="0.25">
      <c r="A4790" t="s">
        <v>204</v>
      </c>
      <c r="B4790">
        <v>885</v>
      </c>
      <c r="C4790" t="s">
        <v>204</v>
      </c>
      <c r="D4790">
        <v>885</v>
      </c>
      <c r="E4790" s="1">
        <v>0.42180000000000001</v>
      </c>
      <c r="F4790" s="1">
        <v>1.0999999999999999E-2</v>
      </c>
      <c r="G4790" s="1">
        <v>2.76E-2</v>
      </c>
      <c r="H4790" s="1">
        <v>0.30359999999999998</v>
      </c>
      <c r="I4790" s="1">
        <v>0.10920000000000001</v>
      </c>
      <c r="J4790" s="1">
        <v>0.1263</v>
      </c>
      <c r="K4790" s="1">
        <v>5.9999999999999995E-4</v>
      </c>
    </row>
    <row r="4792" spans="1:12" x14ac:dyDescent="0.25">
      <c r="A4792" t="s">
        <v>1018</v>
      </c>
    </row>
    <row r="4793" spans="1:12" x14ac:dyDescent="0.25">
      <c r="A4793" t="s">
        <v>190</v>
      </c>
      <c r="B4793" t="s">
        <v>206</v>
      </c>
      <c r="C4793" t="s">
        <v>195</v>
      </c>
      <c r="D4793" t="s">
        <v>189</v>
      </c>
      <c r="E4793" t="s">
        <v>196</v>
      </c>
      <c r="F4793" t="s">
        <v>944</v>
      </c>
      <c r="G4793" t="s">
        <v>220</v>
      </c>
      <c r="H4793" t="s">
        <v>945</v>
      </c>
      <c r="I4793" t="s">
        <v>946</v>
      </c>
      <c r="J4793" t="s">
        <v>947</v>
      </c>
      <c r="K4793" t="s">
        <v>948</v>
      </c>
      <c r="L4793" t="s">
        <v>215</v>
      </c>
    </row>
    <row r="4794" spans="1:12" s="29" customFormat="1" x14ac:dyDescent="0.25">
      <c r="A4794" s="29" t="s">
        <v>198</v>
      </c>
      <c r="B4794" s="29" t="s">
        <v>228</v>
      </c>
      <c r="C4794" s="29">
        <v>18</v>
      </c>
      <c r="D4794" s="29" t="s">
        <v>197</v>
      </c>
      <c r="E4794" s="29">
        <v>885</v>
      </c>
      <c r="F4794" s="30">
        <v>0.69179999999999997</v>
      </c>
      <c r="I4794" s="30">
        <v>6.7000000000000004E-2</v>
      </c>
      <c r="J4794" s="30">
        <v>9.8699999999999996E-2</v>
      </c>
      <c r="K4794" s="30">
        <v>0.14249999999999999</v>
      </c>
    </row>
    <row r="4795" spans="1:12" x14ac:dyDescent="0.25">
      <c r="A4795" t="s">
        <v>198</v>
      </c>
      <c r="B4795" t="s">
        <v>229</v>
      </c>
      <c r="C4795">
        <v>30</v>
      </c>
      <c r="D4795" t="s">
        <v>197</v>
      </c>
      <c r="E4795">
        <v>885</v>
      </c>
      <c r="F4795" s="1">
        <v>0.25209999999999999</v>
      </c>
      <c r="G4795" s="1">
        <v>4.4200000000000003E-2</v>
      </c>
      <c r="H4795" s="1">
        <v>4.0599999999999997E-2</v>
      </c>
      <c r="I4795" s="1">
        <v>0.33310000000000001</v>
      </c>
      <c r="J4795" s="1">
        <v>0.12540000000000001</v>
      </c>
      <c r="K4795" s="1">
        <v>0.2046</v>
      </c>
    </row>
    <row r="4796" spans="1:12" x14ac:dyDescent="0.25">
      <c r="A4796" t="s">
        <v>198</v>
      </c>
      <c r="B4796" t="s">
        <v>229</v>
      </c>
      <c r="C4796">
        <v>129</v>
      </c>
      <c r="D4796" t="s">
        <v>199</v>
      </c>
      <c r="E4796">
        <v>885</v>
      </c>
      <c r="F4796" s="1">
        <v>0.49569999999999997</v>
      </c>
      <c r="G4796" s="1">
        <v>7.7999999999999996E-3</v>
      </c>
      <c r="H4796" s="1">
        <v>5.9999999999999995E-4</v>
      </c>
      <c r="I4796" s="1">
        <v>0.39660000000000001</v>
      </c>
      <c r="J4796" s="1">
        <v>2.76E-2</v>
      </c>
      <c r="K4796" s="1">
        <v>7.1599999999999997E-2</v>
      </c>
    </row>
    <row r="4797" spans="1:12" x14ac:dyDescent="0.25">
      <c r="A4797" t="s">
        <v>198</v>
      </c>
      <c r="B4797" t="s">
        <v>228</v>
      </c>
      <c r="C4797">
        <v>87</v>
      </c>
      <c r="D4797" t="s">
        <v>199</v>
      </c>
      <c r="E4797">
        <v>885</v>
      </c>
      <c r="F4797" s="1">
        <v>0.3856</v>
      </c>
      <c r="G4797" s="1">
        <v>8.8999999999999999E-3</v>
      </c>
      <c r="I4797" s="1">
        <v>0.27629999999999999</v>
      </c>
      <c r="J4797" s="1">
        <v>0.2374</v>
      </c>
      <c r="K4797" s="1">
        <v>9.1899999999999996E-2</v>
      </c>
    </row>
    <row r="4798" spans="1:12" x14ac:dyDescent="0.25">
      <c r="A4798" t="s">
        <v>198</v>
      </c>
      <c r="B4798" t="s">
        <v>228</v>
      </c>
      <c r="C4798">
        <v>60</v>
      </c>
      <c r="D4798" t="s">
        <v>200</v>
      </c>
      <c r="E4798">
        <v>885</v>
      </c>
      <c r="F4798" s="1">
        <v>0.39560000000000001</v>
      </c>
      <c r="H4798" s="1">
        <v>7.5200000000000003E-2</v>
      </c>
      <c r="I4798" s="1">
        <v>0.35659999999999997</v>
      </c>
      <c r="J4798" s="1">
        <v>2.1000000000000001E-2</v>
      </c>
      <c r="K4798" s="1">
        <v>0.1517</v>
      </c>
    </row>
    <row r="4799" spans="1:12" x14ac:dyDescent="0.25">
      <c r="A4799" t="s">
        <v>198</v>
      </c>
      <c r="B4799" t="s">
        <v>229</v>
      </c>
      <c r="C4799">
        <v>143</v>
      </c>
      <c r="D4799" t="s">
        <v>200</v>
      </c>
      <c r="E4799">
        <v>885</v>
      </c>
      <c r="F4799" s="1">
        <v>0.35470000000000002</v>
      </c>
      <c r="G4799" s="1">
        <v>2.3699999999999999E-2</v>
      </c>
      <c r="H4799" s="1">
        <v>0.05</v>
      </c>
      <c r="I4799" s="1">
        <v>0.33029999999999998</v>
      </c>
      <c r="J4799" s="1">
        <v>0.1</v>
      </c>
      <c r="K4799" s="1">
        <v>0.1414</v>
      </c>
    </row>
    <row r="4800" spans="1:12" x14ac:dyDescent="0.25">
      <c r="A4800" t="s">
        <v>198</v>
      </c>
      <c r="B4800" t="s">
        <v>228</v>
      </c>
      <c r="C4800">
        <v>63</v>
      </c>
      <c r="D4800" t="s">
        <v>201</v>
      </c>
      <c r="E4800">
        <v>885</v>
      </c>
      <c r="F4800" s="1">
        <v>0.25</v>
      </c>
      <c r="G4800" s="1">
        <v>3.3E-3</v>
      </c>
      <c r="H4800" s="1">
        <v>3.3E-3</v>
      </c>
      <c r="I4800" s="1">
        <v>0.49440000000000001</v>
      </c>
      <c r="J4800" s="1">
        <v>7.5800000000000006E-2</v>
      </c>
      <c r="K4800" s="1">
        <v>0.17319999999999999</v>
      </c>
    </row>
    <row r="4801" spans="1:12" x14ac:dyDescent="0.25">
      <c r="A4801" t="s">
        <v>198</v>
      </c>
      <c r="B4801" t="s">
        <v>229</v>
      </c>
      <c r="C4801">
        <v>97</v>
      </c>
      <c r="D4801" t="s">
        <v>201</v>
      </c>
      <c r="E4801">
        <v>885</v>
      </c>
      <c r="F4801" s="1">
        <v>0.37440000000000001</v>
      </c>
      <c r="G4801" s="1">
        <v>1.0699999999999999E-2</v>
      </c>
      <c r="H4801" s="1">
        <v>7.7999999999999996E-3</v>
      </c>
      <c r="I4801" s="1">
        <v>0.27589999999999998</v>
      </c>
      <c r="J4801" s="1">
        <v>0.19539999999999999</v>
      </c>
      <c r="K4801" s="1">
        <v>0.1358</v>
      </c>
    </row>
    <row r="4802" spans="1:12" s="29" customFormat="1" x14ac:dyDescent="0.25">
      <c r="A4802" s="29" t="s">
        <v>198</v>
      </c>
      <c r="B4802" s="29" t="s">
        <v>228</v>
      </c>
      <c r="C4802" s="29">
        <v>16</v>
      </c>
      <c r="D4802" s="29" t="s">
        <v>202</v>
      </c>
      <c r="E4802" s="29">
        <v>885</v>
      </c>
      <c r="F4802" s="30">
        <v>0.79859999999999998</v>
      </c>
      <c r="I4802" s="30">
        <v>0.104</v>
      </c>
      <c r="J4802" s="30">
        <v>9.7299999999999998E-2</v>
      </c>
    </row>
    <row r="4803" spans="1:12" x14ac:dyDescent="0.25">
      <c r="A4803" t="s">
        <v>198</v>
      </c>
      <c r="B4803" t="s">
        <v>229</v>
      </c>
      <c r="C4803">
        <v>33</v>
      </c>
      <c r="D4803" t="s">
        <v>202</v>
      </c>
      <c r="E4803">
        <v>885</v>
      </c>
      <c r="F4803" s="1">
        <v>0.46129999999999999</v>
      </c>
      <c r="H4803" s="1">
        <v>3.85E-2</v>
      </c>
      <c r="I4803" s="1">
        <v>0.31219999999999998</v>
      </c>
      <c r="J4803" s="1">
        <v>0.1086</v>
      </c>
      <c r="K4803" s="1">
        <v>7.9299999999999995E-2</v>
      </c>
    </row>
    <row r="4804" spans="1:12" x14ac:dyDescent="0.25">
      <c r="A4804" t="s">
        <v>203</v>
      </c>
      <c r="B4804" t="s">
        <v>229</v>
      </c>
      <c r="C4804">
        <v>70</v>
      </c>
      <c r="D4804" t="s">
        <v>199</v>
      </c>
      <c r="E4804">
        <v>885</v>
      </c>
      <c r="F4804" s="1">
        <v>0.18990000000000001</v>
      </c>
      <c r="H4804" s="1">
        <v>4.7600000000000003E-2</v>
      </c>
      <c r="I4804" s="1">
        <v>0.18909999999999999</v>
      </c>
      <c r="J4804" s="1">
        <v>0.27700000000000002</v>
      </c>
      <c r="K4804" s="1">
        <v>0.29630000000000001</v>
      </c>
    </row>
    <row r="4805" spans="1:12" x14ac:dyDescent="0.25">
      <c r="A4805" t="s">
        <v>203</v>
      </c>
      <c r="B4805" t="s">
        <v>228</v>
      </c>
      <c r="C4805">
        <v>35</v>
      </c>
      <c r="D4805" t="s">
        <v>199</v>
      </c>
      <c r="E4805">
        <v>885</v>
      </c>
      <c r="F4805" s="1">
        <v>0.13039999999999999</v>
      </c>
      <c r="H4805" s="1">
        <v>3.2300000000000002E-2</v>
      </c>
      <c r="I4805" s="1">
        <v>0.1835</v>
      </c>
      <c r="J4805" s="1">
        <v>0.14860000000000001</v>
      </c>
      <c r="K4805" s="1">
        <v>0.50519999999999998</v>
      </c>
    </row>
    <row r="4806" spans="1:12" s="29" customFormat="1" x14ac:dyDescent="0.25">
      <c r="A4806" s="29" t="s">
        <v>203</v>
      </c>
      <c r="B4806" s="29" t="s">
        <v>228</v>
      </c>
      <c r="C4806" s="29">
        <v>17</v>
      </c>
      <c r="D4806" s="29" t="s">
        <v>200</v>
      </c>
      <c r="E4806" s="29">
        <v>885</v>
      </c>
      <c r="F4806" s="30">
        <v>0.35310000000000002</v>
      </c>
      <c r="G4806" s="30">
        <v>2.18E-2</v>
      </c>
      <c r="H4806" s="30">
        <v>9.7799999999999998E-2</v>
      </c>
      <c r="I4806" s="30">
        <v>0.27839999999999998</v>
      </c>
      <c r="J4806" s="30">
        <v>2.7E-2</v>
      </c>
      <c r="K4806" s="30">
        <v>0.19500000000000001</v>
      </c>
      <c r="L4806" s="30">
        <v>2.7E-2</v>
      </c>
    </row>
    <row r="4807" spans="1:12" s="29" customFormat="1" x14ac:dyDescent="0.25">
      <c r="A4807" s="29" t="s">
        <v>203</v>
      </c>
      <c r="B4807" s="29" t="s">
        <v>229</v>
      </c>
      <c r="C4807" s="29">
        <v>13</v>
      </c>
      <c r="D4807" s="29" t="s">
        <v>200</v>
      </c>
      <c r="E4807" s="29">
        <v>885</v>
      </c>
      <c r="F4807" s="30">
        <v>0.53359999999999996</v>
      </c>
      <c r="I4807" s="30">
        <v>0.3226</v>
      </c>
      <c r="J4807" s="30">
        <v>0.14380000000000001</v>
      </c>
    </row>
    <row r="4808" spans="1:12" s="29" customFormat="1" x14ac:dyDescent="0.25">
      <c r="A4808" s="29" t="s">
        <v>203</v>
      </c>
      <c r="B4808" s="29" t="s">
        <v>229</v>
      </c>
      <c r="C4808" s="29">
        <v>19</v>
      </c>
      <c r="D4808" s="29" t="s">
        <v>201</v>
      </c>
      <c r="E4808" s="29">
        <v>885</v>
      </c>
      <c r="F4808" s="30">
        <v>8.6300000000000002E-2</v>
      </c>
      <c r="H4808" s="30">
        <v>8.6300000000000002E-2</v>
      </c>
      <c r="I4808" s="30">
        <v>0.25900000000000001</v>
      </c>
      <c r="J4808" s="30">
        <v>0.43140000000000001</v>
      </c>
      <c r="K4808" s="30">
        <v>0.1368</v>
      </c>
    </row>
    <row r="4809" spans="1:12" x14ac:dyDescent="0.25">
      <c r="A4809" t="s">
        <v>203</v>
      </c>
      <c r="B4809" t="s">
        <v>228</v>
      </c>
      <c r="C4809">
        <v>43</v>
      </c>
      <c r="D4809" t="s">
        <v>201</v>
      </c>
      <c r="E4809">
        <v>885</v>
      </c>
      <c r="F4809" s="1">
        <v>5.5E-2</v>
      </c>
      <c r="H4809" s="1">
        <v>9.1999999999999998E-3</v>
      </c>
      <c r="I4809" s="1">
        <v>0.2248</v>
      </c>
      <c r="J4809" s="1">
        <v>0.46879999999999999</v>
      </c>
      <c r="K4809" s="1">
        <v>0.24229999999999999</v>
      </c>
    </row>
    <row r="4810" spans="1:12" s="29" customFormat="1" x14ac:dyDescent="0.25">
      <c r="A4810" s="29" t="s">
        <v>203</v>
      </c>
      <c r="B4810" s="29" t="s">
        <v>229</v>
      </c>
      <c r="C4810" s="29">
        <v>2</v>
      </c>
      <c r="D4810" s="29" t="s">
        <v>202</v>
      </c>
      <c r="E4810" s="29">
        <v>885</v>
      </c>
      <c r="I4810" s="30">
        <v>0.5</v>
      </c>
      <c r="K4810" s="30">
        <v>0.5</v>
      </c>
    </row>
    <row r="4811" spans="1:12" x14ac:dyDescent="0.25">
      <c r="A4811" t="s">
        <v>204</v>
      </c>
      <c r="B4811" t="s">
        <v>204</v>
      </c>
      <c r="C4811">
        <v>885</v>
      </c>
      <c r="D4811" t="s">
        <v>204</v>
      </c>
      <c r="E4811">
        <v>885</v>
      </c>
      <c r="F4811" s="1">
        <v>0.42180000000000001</v>
      </c>
      <c r="G4811" s="1">
        <v>1.0999999999999999E-2</v>
      </c>
      <c r="H4811" s="1">
        <v>2.76E-2</v>
      </c>
      <c r="I4811" s="1">
        <v>0.30359999999999998</v>
      </c>
      <c r="J4811" s="1">
        <v>0.10920000000000001</v>
      </c>
      <c r="K4811" s="1">
        <v>0.1263</v>
      </c>
      <c r="L4811" s="1">
        <v>5.9999999999999995E-4</v>
      </c>
    </row>
    <row r="4813" spans="1:12" x14ac:dyDescent="0.25">
      <c r="A4813" t="s">
        <v>1019</v>
      </c>
    </row>
    <row r="4814" spans="1:12" x14ac:dyDescent="0.25">
      <c r="A4814" t="s">
        <v>190</v>
      </c>
      <c r="B4814" t="s">
        <v>206</v>
      </c>
      <c r="C4814" t="s">
        <v>195</v>
      </c>
      <c r="D4814" t="s">
        <v>189</v>
      </c>
      <c r="E4814" t="s">
        <v>196</v>
      </c>
      <c r="F4814" t="s">
        <v>944</v>
      </c>
      <c r="G4814" t="s">
        <v>220</v>
      </c>
      <c r="H4814" t="s">
        <v>945</v>
      </c>
      <c r="I4814" t="s">
        <v>946</v>
      </c>
      <c r="J4814" t="s">
        <v>947</v>
      </c>
      <c r="K4814" t="s">
        <v>948</v>
      </c>
      <c r="L4814" t="s">
        <v>215</v>
      </c>
    </row>
    <row r="4815" spans="1:12" x14ac:dyDescent="0.25">
      <c r="A4815" t="s">
        <v>198</v>
      </c>
      <c r="B4815" t="s">
        <v>348</v>
      </c>
      <c r="C4815">
        <v>46</v>
      </c>
      <c r="D4815" t="s">
        <v>197</v>
      </c>
      <c r="E4815">
        <v>885</v>
      </c>
      <c r="F4815" s="1">
        <v>0.4239</v>
      </c>
      <c r="G4815" s="1">
        <v>2.7699999999999999E-2</v>
      </c>
      <c r="H4815" s="1">
        <v>2.5499999999999998E-2</v>
      </c>
      <c r="I4815" s="1">
        <v>0.2366</v>
      </c>
      <c r="J4815" s="1">
        <v>9.9000000000000005E-2</v>
      </c>
      <c r="K4815" s="1">
        <v>0.18729999999999999</v>
      </c>
    </row>
    <row r="4816" spans="1:12" s="29" customFormat="1" x14ac:dyDescent="0.25">
      <c r="A4816" s="29" t="s">
        <v>198</v>
      </c>
      <c r="B4816" s="29" t="s">
        <v>349</v>
      </c>
      <c r="C4816" s="29">
        <v>2</v>
      </c>
      <c r="D4816" s="29" t="s">
        <v>197</v>
      </c>
      <c r="E4816" s="29">
        <v>885</v>
      </c>
      <c r="F4816" s="30">
        <v>0.5</v>
      </c>
      <c r="J4816" s="30">
        <v>0.5</v>
      </c>
    </row>
    <row r="4817" spans="1:12" s="29" customFormat="1" x14ac:dyDescent="0.25">
      <c r="A4817" s="29" t="s">
        <v>198</v>
      </c>
      <c r="B4817" s="29" t="s">
        <v>348</v>
      </c>
      <c r="C4817" s="29">
        <v>29</v>
      </c>
      <c r="D4817" s="29" t="s">
        <v>199</v>
      </c>
      <c r="E4817" s="29">
        <v>885</v>
      </c>
      <c r="F4817" s="30">
        <v>0.55800000000000005</v>
      </c>
      <c r="I4817" s="30">
        <v>0.36120000000000002</v>
      </c>
      <c r="J4817" s="30">
        <v>3.4500000000000003E-2</v>
      </c>
      <c r="K4817" s="30">
        <v>4.6199999999999998E-2</v>
      </c>
    </row>
    <row r="4818" spans="1:12" x14ac:dyDescent="0.25">
      <c r="A4818" t="s">
        <v>198</v>
      </c>
      <c r="B4818" t="s">
        <v>349</v>
      </c>
      <c r="C4818">
        <v>68</v>
      </c>
      <c r="D4818" t="s">
        <v>199</v>
      </c>
      <c r="E4818">
        <v>885</v>
      </c>
      <c r="F4818" s="1">
        <v>0.4541</v>
      </c>
      <c r="G4818" s="1">
        <v>9.4999999999999998E-3</v>
      </c>
      <c r="I4818" s="1">
        <v>0.41099999999999998</v>
      </c>
      <c r="J4818" s="1">
        <v>2.35E-2</v>
      </c>
      <c r="K4818" s="1">
        <v>0.1019</v>
      </c>
    </row>
    <row r="4819" spans="1:12" x14ac:dyDescent="0.25">
      <c r="A4819" t="s">
        <v>198</v>
      </c>
      <c r="B4819" t="s">
        <v>350</v>
      </c>
      <c r="C4819">
        <v>119</v>
      </c>
      <c r="D4819" t="s">
        <v>199</v>
      </c>
      <c r="E4819">
        <v>885</v>
      </c>
      <c r="F4819" s="1">
        <v>0.4677</v>
      </c>
      <c r="G4819" s="1">
        <v>8.6999999999999994E-3</v>
      </c>
      <c r="H4819" s="1">
        <v>1.2999999999999999E-3</v>
      </c>
      <c r="I4819" s="1">
        <v>0.31859999999999999</v>
      </c>
      <c r="J4819" s="1">
        <v>0.15279999999999999</v>
      </c>
      <c r="K4819" s="1">
        <v>5.0799999999999998E-2</v>
      </c>
    </row>
    <row r="4820" spans="1:12" x14ac:dyDescent="0.25">
      <c r="A4820" t="s">
        <v>198</v>
      </c>
      <c r="B4820" t="s">
        <v>348</v>
      </c>
      <c r="C4820">
        <v>123</v>
      </c>
      <c r="D4820" t="s">
        <v>200</v>
      </c>
      <c r="E4820">
        <v>885</v>
      </c>
      <c r="F4820" s="1">
        <v>0.3992</v>
      </c>
      <c r="G4820" s="1">
        <v>2.01E-2</v>
      </c>
      <c r="H4820" s="1">
        <v>6.1699999999999998E-2</v>
      </c>
      <c r="I4820" s="1">
        <v>0.31919999999999998</v>
      </c>
      <c r="J4820" s="1">
        <v>7.7499999999999999E-2</v>
      </c>
      <c r="K4820" s="1">
        <v>0.12230000000000001</v>
      </c>
    </row>
    <row r="4821" spans="1:12" x14ac:dyDescent="0.25">
      <c r="A4821" t="s">
        <v>198</v>
      </c>
      <c r="B4821" t="s">
        <v>349</v>
      </c>
      <c r="C4821">
        <v>30</v>
      </c>
      <c r="D4821" t="s">
        <v>200</v>
      </c>
      <c r="E4821">
        <v>885</v>
      </c>
      <c r="F4821" s="1">
        <v>0.13070000000000001</v>
      </c>
      <c r="G4821" s="1">
        <v>6.6E-3</v>
      </c>
      <c r="I4821" s="1">
        <v>0.4733</v>
      </c>
      <c r="J4821" s="1">
        <v>0.18740000000000001</v>
      </c>
      <c r="K4821" s="1">
        <v>0.20200000000000001</v>
      </c>
    </row>
    <row r="4822" spans="1:12" x14ac:dyDescent="0.25">
      <c r="A4822" t="s">
        <v>198</v>
      </c>
      <c r="B4822" t="s">
        <v>350</v>
      </c>
      <c r="C4822">
        <v>50</v>
      </c>
      <c r="D4822" t="s">
        <v>200</v>
      </c>
      <c r="E4822">
        <v>885</v>
      </c>
      <c r="F4822" s="1">
        <v>0.11700000000000001</v>
      </c>
      <c r="G4822" s="1">
        <v>5.3E-3</v>
      </c>
      <c r="H4822" s="1">
        <v>2.7E-2</v>
      </c>
      <c r="I4822" s="1">
        <v>0.43709999999999999</v>
      </c>
      <c r="J4822" s="1">
        <v>5.1999999999999998E-2</v>
      </c>
      <c r="K4822" s="1">
        <v>0.36149999999999999</v>
      </c>
    </row>
    <row r="4823" spans="1:12" s="29" customFormat="1" x14ac:dyDescent="0.25">
      <c r="A4823" s="29" t="s">
        <v>198</v>
      </c>
      <c r="B4823" s="29" t="s">
        <v>348</v>
      </c>
      <c r="C4823" s="29">
        <v>26</v>
      </c>
      <c r="D4823" s="29" t="s">
        <v>201</v>
      </c>
      <c r="E4823" s="29">
        <v>885</v>
      </c>
      <c r="F4823" s="30">
        <v>0.38319999999999999</v>
      </c>
      <c r="I4823" s="30">
        <v>0.45610000000000001</v>
      </c>
      <c r="J4823" s="30">
        <v>5.5199999999999999E-2</v>
      </c>
      <c r="K4823" s="30">
        <v>0.1055</v>
      </c>
    </row>
    <row r="4824" spans="1:12" x14ac:dyDescent="0.25">
      <c r="A4824" t="s">
        <v>198</v>
      </c>
      <c r="B4824" t="s">
        <v>350</v>
      </c>
      <c r="C4824">
        <v>50</v>
      </c>
      <c r="D4824" t="s">
        <v>201</v>
      </c>
      <c r="E4824">
        <v>885</v>
      </c>
      <c r="F4824" s="1">
        <v>0.29509999999999997</v>
      </c>
      <c r="G4824" s="1">
        <v>3.6200000000000003E-2</v>
      </c>
      <c r="H4824" s="1">
        <v>8.5000000000000006E-3</v>
      </c>
      <c r="I4824" s="1">
        <v>0.44740000000000002</v>
      </c>
      <c r="J4824" s="1">
        <v>4.4699999999999997E-2</v>
      </c>
      <c r="K4824" s="1">
        <v>0.16789999999999999</v>
      </c>
    </row>
    <row r="4825" spans="1:12" x14ac:dyDescent="0.25">
      <c r="A4825" t="s">
        <v>198</v>
      </c>
      <c r="B4825" t="s">
        <v>349</v>
      </c>
      <c r="C4825">
        <v>84</v>
      </c>
      <c r="D4825" t="s">
        <v>201</v>
      </c>
      <c r="E4825">
        <v>885</v>
      </c>
      <c r="F4825" s="1">
        <v>0.35220000000000001</v>
      </c>
      <c r="G4825" s="1">
        <v>8.8000000000000005E-3</v>
      </c>
      <c r="H4825" s="1">
        <v>8.0000000000000002E-3</v>
      </c>
      <c r="I4825" s="1">
        <v>0.2787</v>
      </c>
      <c r="J4825" s="1">
        <v>0.20580000000000001</v>
      </c>
      <c r="K4825" s="1">
        <v>0.14649999999999999</v>
      </c>
    </row>
    <row r="4826" spans="1:12" x14ac:dyDescent="0.25">
      <c r="A4826" t="s">
        <v>198</v>
      </c>
      <c r="B4826" t="s">
        <v>348</v>
      </c>
      <c r="C4826">
        <v>49</v>
      </c>
      <c r="D4826" t="s">
        <v>202</v>
      </c>
      <c r="E4826">
        <v>885</v>
      </c>
      <c r="F4826" s="1">
        <v>0.5494</v>
      </c>
      <c r="H4826" s="1">
        <v>2.8500000000000001E-2</v>
      </c>
      <c r="I4826" s="1">
        <v>0.25790000000000002</v>
      </c>
      <c r="J4826" s="1">
        <v>0.1057</v>
      </c>
      <c r="K4826" s="1">
        <v>5.8599999999999999E-2</v>
      </c>
    </row>
    <row r="4827" spans="1:12" x14ac:dyDescent="0.25">
      <c r="A4827" t="s">
        <v>203</v>
      </c>
      <c r="B4827" t="s">
        <v>350</v>
      </c>
      <c r="C4827">
        <v>77</v>
      </c>
      <c r="D4827" t="s">
        <v>199</v>
      </c>
      <c r="E4827">
        <v>885</v>
      </c>
      <c r="F4827" s="1">
        <v>0.18770000000000001</v>
      </c>
      <c r="H4827" s="1">
        <v>3.9399999999999998E-2</v>
      </c>
      <c r="I4827" s="1">
        <v>0.17549999999999999</v>
      </c>
      <c r="J4827" s="1">
        <v>0.24959999999999999</v>
      </c>
      <c r="K4827" s="1">
        <v>0.34789999999999999</v>
      </c>
    </row>
    <row r="4828" spans="1:12" s="29" customFormat="1" x14ac:dyDescent="0.25">
      <c r="A4828" s="29" t="s">
        <v>203</v>
      </c>
      <c r="B4828" s="29" t="s">
        <v>348</v>
      </c>
      <c r="C4828" s="29">
        <v>1</v>
      </c>
      <c r="D4828" s="29" t="s">
        <v>199</v>
      </c>
      <c r="E4828" s="29">
        <v>885</v>
      </c>
      <c r="K4828" s="30">
        <v>1</v>
      </c>
    </row>
    <row r="4829" spans="1:12" s="29" customFormat="1" x14ac:dyDescent="0.25">
      <c r="A4829" s="29" t="s">
        <v>203</v>
      </c>
      <c r="B4829" s="29" t="s">
        <v>349</v>
      </c>
      <c r="C4829" s="29">
        <v>27</v>
      </c>
      <c r="D4829" s="29" t="s">
        <v>199</v>
      </c>
      <c r="E4829" s="29">
        <v>885</v>
      </c>
      <c r="F4829" s="30">
        <v>0.13100000000000001</v>
      </c>
      <c r="H4829" s="30">
        <v>8.6699999999999999E-2</v>
      </c>
      <c r="I4829" s="30">
        <v>0.28320000000000001</v>
      </c>
      <c r="J4829" s="30">
        <v>0.30580000000000002</v>
      </c>
      <c r="K4829" s="30">
        <v>0.1933</v>
      </c>
    </row>
    <row r="4830" spans="1:12" s="29" customFormat="1" x14ac:dyDescent="0.25">
      <c r="A4830" s="29" t="s">
        <v>203</v>
      </c>
      <c r="B4830" s="29" t="s">
        <v>350</v>
      </c>
      <c r="C4830" s="29">
        <v>10</v>
      </c>
      <c r="D4830" s="29" t="s">
        <v>200</v>
      </c>
      <c r="E4830" s="29">
        <v>885</v>
      </c>
      <c r="F4830" s="30">
        <v>0.11840000000000001</v>
      </c>
      <c r="H4830" s="30">
        <v>2.63E-2</v>
      </c>
      <c r="I4830" s="30">
        <v>0.38190000000000002</v>
      </c>
      <c r="J4830" s="30">
        <v>0.35510000000000003</v>
      </c>
      <c r="L4830" s="30">
        <v>0.11840000000000001</v>
      </c>
    </row>
    <row r="4831" spans="1:12" s="29" customFormat="1" x14ac:dyDescent="0.25">
      <c r="A4831" s="29" t="s">
        <v>203</v>
      </c>
      <c r="B4831" s="29" t="s">
        <v>348</v>
      </c>
      <c r="C4831" s="29">
        <v>18</v>
      </c>
      <c r="D4831" s="29" t="s">
        <v>200</v>
      </c>
      <c r="E4831" s="29">
        <v>885</v>
      </c>
      <c r="F4831" s="30">
        <v>0.48139999999999999</v>
      </c>
      <c r="G4831" s="30">
        <v>1.6400000000000001E-2</v>
      </c>
      <c r="H4831" s="30">
        <v>6.9000000000000006E-2</v>
      </c>
      <c r="I4831" s="30">
        <v>0.28670000000000001</v>
      </c>
      <c r="K4831" s="30">
        <v>0.14649999999999999</v>
      </c>
    </row>
    <row r="4832" spans="1:12" s="29" customFormat="1" x14ac:dyDescent="0.25">
      <c r="A4832" s="29" t="s">
        <v>203</v>
      </c>
      <c r="B4832" s="29" t="s">
        <v>349</v>
      </c>
      <c r="C4832" s="29">
        <v>2</v>
      </c>
      <c r="D4832" s="29" t="s">
        <v>200</v>
      </c>
      <c r="E4832" s="29">
        <v>885</v>
      </c>
      <c r="J4832" s="30">
        <v>1</v>
      </c>
    </row>
    <row r="4833" spans="1:21" x14ac:dyDescent="0.25">
      <c r="A4833" t="s">
        <v>203</v>
      </c>
      <c r="B4833" t="s">
        <v>350</v>
      </c>
      <c r="C4833">
        <v>39</v>
      </c>
      <c r="D4833" t="s">
        <v>201</v>
      </c>
      <c r="E4833">
        <v>885</v>
      </c>
      <c r="F4833" s="1">
        <v>0.108</v>
      </c>
      <c r="H4833" s="1">
        <v>9.3399999999999997E-2</v>
      </c>
      <c r="I4833" s="1">
        <v>0.3095</v>
      </c>
      <c r="J4833" s="1">
        <v>0.27300000000000002</v>
      </c>
      <c r="K4833" s="1">
        <v>0.21609999999999999</v>
      </c>
    </row>
    <row r="4834" spans="1:21" s="29" customFormat="1" x14ac:dyDescent="0.25">
      <c r="A4834" s="29" t="s">
        <v>203</v>
      </c>
      <c r="B4834" s="29" t="s">
        <v>349</v>
      </c>
      <c r="C4834" s="29">
        <v>23</v>
      </c>
      <c r="D4834" s="29" t="s">
        <v>201</v>
      </c>
      <c r="E4834" s="29">
        <v>885</v>
      </c>
      <c r="F4834" s="30">
        <v>2.76E-2</v>
      </c>
      <c r="I4834" s="30">
        <v>0.16120000000000001</v>
      </c>
      <c r="J4834" s="30">
        <v>0.66839999999999999</v>
      </c>
      <c r="K4834" s="30">
        <v>0.14280000000000001</v>
      </c>
    </row>
    <row r="4835" spans="1:21" s="29" customFormat="1" x14ac:dyDescent="0.25">
      <c r="A4835" s="29" t="s">
        <v>203</v>
      </c>
      <c r="B4835" s="29" t="s">
        <v>348</v>
      </c>
      <c r="C4835" s="29">
        <v>2</v>
      </c>
      <c r="D4835" s="29" t="s">
        <v>202</v>
      </c>
      <c r="E4835" s="29">
        <v>885</v>
      </c>
      <c r="I4835" s="30">
        <v>0.5</v>
      </c>
      <c r="K4835" s="30">
        <v>0.5</v>
      </c>
    </row>
    <row r="4836" spans="1:21" x14ac:dyDescent="0.25">
      <c r="A4836" t="s">
        <v>204</v>
      </c>
      <c r="B4836" t="s">
        <v>204</v>
      </c>
      <c r="C4836">
        <v>885</v>
      </c>
      <c r="D4836" t="s">
        <v>204</v>
      </c>
      <c r="E4836">
        <v>885</v>
      </c>
      <c r="F4836" s="1">
        <v>0.42180000000000001</v>
      </c>
      <c r="G4836" s="1">
        <v>1.0999999999999999E-2</v>
      </c>
      <c r="H4836" s="1">
        <v>2.76E-2</v>
      </c>
      <c r="I4836" s="1">
        <v>0.30359999999999998</v>
      </c>
      <c r="J4836" s="1">
        <v>0.10920000000000001</v>
      </c>
      <c r="K4836" s="1">
        <v>0.1263</v>
      </c>
      <c r="L4836" s="1">
        <v>5.9999999999999995E-4</v>
      </c>
    </row>
    <row r="4838" spans="1:21" x14ac:dyDescent="0.25">
      <c r="A4838" t="s">
        <v>1020</v>
      </c>
    </row>
    <row r="4839" spans="1:21" x14ac:dyDescent="0.25">
      <c r="A4839" t="s">
        <v>190</v>
      </c>
      <c r="B4839" t="s">
        <v>195</v>
      </c>
      <c r="C4839" t="s">
        <v>189</v>
      </c>
      <c r="D4839" t="s">
        <v>196</v>
      </c>
      <c r="E4839" t="s">
        <v>1021</v>
      </c>
      <c r="F4839" t="s">
        <v>220</v>
      </c>
      <c r="G4839" t="s">
        <v>1022</v>
      </c>
      <c r="H4839" t="s">
        <v>1023</v>
      </c>
      <c r="I4839" t="s">
        <v>1024</v>
      </c>
      <c r="J4839" t="s">
        <v>1025</v>
      </c>
      <c r="K4839" t="s">
        <v>1026</v>
      </c>
      <c r="L4839" t="s">
        <v>1027</v>
      </c>
      <c r="M4839" t="s">
        <v>1028</v>
      </c>
      <c r="N4839" t="s">
        <v>1029</v>
      </c>
      <c r="O4839" t="s">
        <v>1030</v>
      </c>
      <c r="P4839" t="s">
        <v>1031</v>
      </c>
      <c r="Q4839" t="s">
        <v>1032</v>
      </c>
      <c r="R4839" t="s">
        <v>1033</v>
      </c>
      <c r="S4839" t="s">
        <v>1034</v>
      </c>
      <c r="T4839" t="s">
        <v>1035</v>
      </c>
      <c r="U4839" t="s">
        <v>1036</v>
      </c>
    </row>
    <row r="4840" spans="1:21" x14ac:dyDescent="0.25">
      <c r="A4840" t="s">
        <v>198</v>
      </c>
      <c r="B4840">
        <v>82</v>
      </c>
      <c r="C4840" t="s">
        <v>197</v>
      </c>
      <c r="D4840">
        <v>2633</v>
      </c>
      <c r="E4840" s="1">
        <v>0.27400000000000002</v>
      </c>
      <c r="F4840" s="1">
        <v>2.0799999999999999E-2</v>
      </c>
      <c r="I4840" s="1">
        <v>2.2100000000000002E-2</v>
      </c>
      <c r="J4840" s="1">
        <v>0.14510000000000001</v>
      </c>
      <c r="P4840" s="1">
        <v>0.31630000000000003</v>
      </c>
      <c r="T4840" s="1">
        <v>0.1014</v>
      </c>
      <c r="U4840" s="1">
        <v>0.12039999999999999</v>
      </c>
    </row>
    <row r="4841" spans="1:21" x14ac:dyDescent="0.25">
      <c r="A4841" t="s">
        <v>198</v>
      </c>
      <c r="B4841">
        <v>368</v>
      </c>
      <c r="C4841" t="s">
        <v>199</v>
      </c>
      <c r="D4841">
        <v>2633</v>
      </c>
      <c r="E4841" s="1">
        <v>0.26179999999999998</v>
      </c>
      <c r="G4841" s="1">
        <v>4.8999999999999998E-3</v>
      </c>
      <c r="H4841" s="1">
        <v>1.5E-3</v>
      </c>
      <c r="I4841" s="1">
        <v>5.9999999999999995E-4</v>
      </c>
      <c r="J4841" s="1">
        <v>0.1019</v>
      </c>
      <c r="K4841" s="1">
        <v>7.7000000000000002E-3</v>
      </c>
      <c r="L4841" s="1">
        <v>4.7999999999999996E-3</v>
      </c>
      <c r="O4841" s="1">
        <v>8.9999999999999998E-4</v>
      </c>
      <c r="P4841" s="1">
        <v>0.21840000000000001</v>
      </c>
      <c r="R4841" s="1">
        <v>2.8500000000000001E-2</v>
      </c>
      <c r="S4841" s="1">
        <v>8.9999999999999998E-4</v>
      </c>
      <c r="T4841" s="1">
        <v>6.4999999999999997E-3</v>
      </c>
      <c r="U4841" s="1">
        <v>0.36159999999999998</v>
      </c>
    </row>
    <row r="4842" spans="1:21" x14ac:dyDescent="0.25">
      <c r="A4842" t="s">
        <v>198</v>
      </c>
      <c r="B4842">
        <v>387</v>
      </c>
      <c r="C4842" t="s">
        <v>200</v>
      </c>
      <c r="D4842">
        <v>2633</v>
      </c>
      <c r="E4842" s="1">
        <v>0.31559999999999999</v>
      </c>
      <c r="H4842" s="1">
        <v>2.8999999999999998E-3</v>
      </c>
      <c r="J4842" s="1">
        <v>0.11749999999999999</v>
      </c>
      <c r="K4842" s="1">
        <v>3.6200000000000003E-2</v>
      </c>
      <c r="L4842" s="1">
        <v>1.01E-2</v>
      </c>
      <c r="P4842" s="1">
        <v>0.23830000000000001</v>
      </c>
      <c r="Q4842" s="1">
        <v>7.4999999999999997E-3</v>
      </c>
      <c r="R4842" s="1">
        <v>4.1000000000000003E-3</v>
      </c>
      <c r="T4842" s="1">
        <v>2.8000000000000001E-2</v>
      </c>
      <c r="U4842" s="1">
        <v>0.2399</v>
      </c>
    </row>
    <row r="4843" spans="1:21" x14ac:dyDescent="0.25">
      <c r="A4843" t="s">
        <v>198</v>
      </c>
      <c r="B4843">
        <v>256</v>
      </c>
      <c r="C4843" t="s">
        <v>201</v>
      </c>
      <c r="D4843">
        <v>2633</v>
      </c>
      <c r="E4843" s="1">
        <v>0.2437</v>
      </c>
      <c r="G4843" s="1">
        <v>4.7999999999999996E-3</v>
      </c>
      <c r="I4843" s="1">
        <v>7.1000000000000004E-3</v>
      </c>
      <c r="J4843" s="1">
        <v>6.9199999999999998E-2</v>
      </c>
      <c r="K4843" s="1">
        <v>0.15190000000000001</v>
      </c>
      <c r="L4843" s="1">
        <v>1.3100000000000001E-2</v>
      </c>
      <c r="P4843" s="1">
        <v>0.26769999999999999</v>
      </c>
      <c r="Q4843" s="1">
        <v>1.0200000000000001E-2</v>
      </c>
      <c r="R4843" s="1">
        <v>4.8099999999999997E-2</v>
      </c>
      <c r="T4843" s="1">
        <v>1.5100000000000001E-2</v>
      </c>
      <c r="U4843" s="1">
        <v>0.1691</v>
      </c>
    </row>
    <row r="4844" spans="1:21" x14ac:dyDescent="0.25">
      <c r="A4844" t="s">
        <v>198</v>
      </c>
      <c r="B4844">
        <v>96</v>
      </c>
      <c r="C4844" t="s">
        <v>202</v>
      </c>
      <c r="D4844">
        <v>2633</v>
      </c>
      <c r="E4844" s="1">
        <v>0.2094</v>
      </c>
      <c r="J4844" s="1">
        <v>0.1855</v>
      </c>
      <c r="K4844" s="1">
        <v>1.7500000000000002E-2</v>
      </c>
      <c r="P4844" s="1">
        <v>0.38879999999999998</v>
      </c>
      <c r="Q4844" s="1">
        <v>3.4299999999999997E-2</v>
      </c>
      <c r="S4844" s="1">
        <v>8.0000000000000002E-3</v>
      </c>
      <c r="T4844" s="1">
        <v>1.3599999999999999E-2</v>
      </c>
      <c r="U4844" s="1">
        <v>0.1429</v>
      </c>
    </row>
    <row r="4845" spans="1:21" x14ac:dyDescent="0.25">
      <c r="A4845" t="s">
        <v>203</v>
      </c>
      <c r="B4845">
        <v>530</v>
      </c>
      <c r="C4845" t="s">
        <v>199</v>
      </c>
      <c r="D4845">
        <v>2633</v>
      </c>
      <c r="E4845" s="1">
        <v>0.26219999999999999</v>
      </c>
      <c r="I4845" s="1">
        <v>1.23E-2</v>
      </c>
      <c r="J4845" s="1">
        <v>0.1096</v>
      </c>
      <c r="K4845" s="1">
        <v>5.1000000000000004E-3</v>
      </c>
      <c r="L4845" s="1">
        <v>4.3E-3</v>
      </c>
      <c r="P4845" s="1">
        <v>0.17910000000000001</v>
      </c>
      <c r="Q4845" s="1">
        <v>2.7099999999999999E-2</v>
      </c>
      <c r="R4845" s="1">
        <v>2.2700000000000001E-2</v>
      </c>
      <c r="S4845" s="1">
        <v>8.9999999999999998E-4</v>
      </c>
      <c r="T4845" s="1">
        <v>5.3E-3</v>
      </c>
      <c r="U4845" s="1">
        <v>0.37159999999999999</v>
      </c>
    </row>
    <row r="4846" spans="1:21" x14ac:dyDescent="0.25">
      <c r="A4846" t="s">
        <v>203</v>
      </c>
      <c r="B4846">
        <v>503</v>
      </c>
      <c r="C4846" t="s">
        <v>200</v>
      </c>
      <c r="D4846">
        <v>2633</v>
      </c>
      <c r="E4846" s="1">
        <v>0.26600000000000001</v>
      </c>
      <c r="H4846" s="1">
        <v>4.0000000000000002E-4</v>
      </c>
      <c r="I4846" s="1">
        <v>8.9999999999999998E-4</v>
      </c>
      <c r="J4846" s="1">
        <v>0.14649999999999999</v>
      </c>
      <c r="K4846" s="1">
        <v>3.61E-2</v>
      </c>
      <c r="L4846" s="1">
        <v>1E-3</v>
      </c>
      <c r="P4846" s="1">
        <v>0.33069999999999999</v>
      </c>
      <c r="Q4846" s="1">
        <v>3.8399999999999997E-2</v>
      </c>
      <c r="R4846" s="1">
        <v>8.3999999999999995E-3</v>
      </c>
      <c r="T4846" s="1">
        <v>5.1000000000000004E-3</v>
      </c>
      <c r="U4846" s="1">
        <v>0.16639999999999999</v>
      </c>
    </row>
    <row r="4847" spans="1:21" x14ac:dyDescent="0.25">
      <c r="A4847" t="s">
        <v>203</v>
      </c>
      <c r="B4847">
        <v>321</v>
      </c>
      <c r="C4847" t="s">
        <v>201</v>
      </c>
      <c r="D4847">
        <v>2633</v>
      </c>
      <c r="E4847" s="1">
        <v>0.1164</v>
      </c>
      <c r="G4847" s="1">
        <v>1.1999999999999999E-3</v>
      </c>
      <c r="H4847" s="1">
        <v>1.0500000000000001E-2</v>
      </c>
      <c r="I4847" s="1">
        <v>2.0000000000000001E-4</v>
      </c>
      <c r="J4847" s="1">
        <v>0.1323</v>
      </c>
      <c r="K4847" s="1">
        <v>2.52E-2</v>
      </c>
      <c r="L4847" s="1">
        <v>0.03</v>
      </c>
      <c r="M4847" s="1">
        <v>1.9E-3</v>
      </c>
      <c r="N4847" s="1">
        <v>2.0000000000000001E-4</v>
      </c>
      <c r="O4847" s="1">
        <v>2.0000000000000001E-4</v>
      </c>
      <c r="P4847" s="1">
        <v>0.44950000000000001</v>
      </c>
      <c r="Q4847" s="1">
        <v>3.0000000000000001E-3</v>
      </c>
      <c r="R4847" s="1">
        <v>0.1361</v>
      </c>
      <c r="T4847" s="1">
        <v>2.5000000000000001E-3</v>
      </c>
      <c r="U4847" s="1">
        <v>9.0999999999999998E-2</v>
      </c>
    </row>
    <row r="4848" spans="1:21" x14ac:dyDescent="0.25">
      <c r="A4848" t="s">
        <v>203</v>
      </c>
      <c r="B4848">
        <v>90</v>
      </c>
      <c r="C4848" t="s">
        <v>202</v>
      </c>
      <c r="D4848">
        <v>2633</v>
      </c>
      <c r="E4848" s="1">
        <v>0.1106</v>
      </c>
      <c r="I4848" s="1">
        <v>1.0200000000000001E-2</v>
      </c>
      <c r="J4848" s="1">
        <v>0.17069999999999999</v>
      </c>
      <c r="K4848" s="1">
        <v>1.0200000000000001E-2</v>
      </c>
      <c r="L4848" s="1">
        <v>1.35E-2</v>
      </c>
      <c r="P4848" s="1">
        <v>0.4657</v>
      </c>
      <c r="Q4848" s="1">
        <v>8.8000000000000005E-3</v>
      </c>
      <c r="T4848" s="1">
        <v>4.8999999999999998E-3</v>
      </c>
      <c r="U4848" s="1">
        <v>0.2054</v>
      </c>
    </row>
    <row r="4849" spans="1:22" x14ac:dyDescent="0.25">
      <c r="A4849" t="s">
        <v>204</v>
      </c>
      <c r="B4849">
        <v>2633</v>
      </c>
      <c r="C4849" t="s">
        <v>204</v>
      </c>
      <c r="D4849">
        <v>2633</v>
      </c>
      <c r="E4849" s="1">
        <v>0.24940000000000001</v>
      </c>
      <c r="F4849" s="1">
        <v>1.4E-3</v>
      </c>
      <c r="G4849" s="1">
        <v>8.9999999999999998E-4</v>
      </c>
      <c r="H4849" s="1">
        <v>1.1999999999999999E-3</v>
      </c>
      <c r="I4849" s="1">
        <v>4.3E-3</v>
      </c>
      <c r="J4849" s="1">
        <v>0.13289999999999999</v>
      </c>
      <c r="K4849" s="1">
        <v>2.7799999999999998E-2</v>
      </c>
      <c r="L4849" s="1">
        <v>5.5999999999999999E-3</v>
      </c>
      <c r="M4849" s="1">
        <v>1E-4</v>
      </c>
      <c r="N4849" s="1">
        <v>0</v>
      </c>
      <c r="O4849" s="1">
        <v>1E-4</v>
      </c>
      <c r="P4849" s="1">
        <v>0.3</v>
      </c>
      <c r="Q4849" s="1">
        <v>2.06E-2</v>
      </c>
      <c r="R4849" s="1">
        <v>1.9199999999999998E-2</v>
      </c>
      <c r="S4849" s="1">
        <v>1E-3</v>
      </c>
      <c r="T4849" s="1">
        <v>1.5599999999999999E-2</v>
      </c>
      <c r="U4849" s="1">
        <v>0.2198</v>
      </c>
    </row>
    <row r="4851" spans="1:22" x14ac:dyDescent="0.25">
      <c r="A4851" t="s">
        <v>1037</v>
      </c>
    </row>
    <row r="4852" spans="1:22" x14ac:dyDescent="0.25">
      <c r="A4852" t="s">
        <v>190</v>
      </c>
      <c r="B4852" t="s">
        <v>206</v>
      </c>
      <c r="C4852" t="s">
        <v>195</v>
      </c>
      <c r="D4852" t="s">
        <v>189</v>
      </c>
      <c r="E4852" t="s">
        <v>196</v>
      </c>
      <c r="F4852" t="s">
        <v>1021</v>
      </c>
      <c r="G4852" t="s">
        <v>220</v>
      </c>
      <c r="H4852" t="s">
        <v>1022</v>
      </c>
      <c r="I4852" t="s">
        <v>1023</v>
      </c>
      <c r="J4852" t="s">
        <v>1024</v>
      </c>
      <c r="K4852" t="s">
        <v>1025</v>
      </c>
      <c r="L4852" t="s">
        <v>1026</v>
      </c>
      <c r="M4852" t="s">
        <v>1027</v>
      </c>
      <c r="N4852" t="s">
        <v>1028</v>
      </c>
      <c r="O4852" t="s">
        <v>1029</v>
      </c>
      <c r="P4852" t="s">
        <v>1030</v>
      </c>
      <c r="Q4852" t="s">
        <v>1031</v>
      </c>
      <c r="R4852" t="s">
        <v>1032</v>
      </c>
      <c r="S4852" t="s">
        <v>1033</v>
      </c>
      <c r="T4852" t="s">
        <v>1034</v>
      </c>
      <c r="U4852" t="s">
        <v>1035</v>
      </c>
      <c r="V4852" t="s">
        <v>1036</v>
      </c>
    </row>
    <row r="4853" spans="1:22" x14ac:dyDescent="0.25">
      <c r="A4853" t="s">
        <v>198</v>
      </c>
      <c r="B4853" t="s">
        <v>228</v>
      </c>
      <c r="C4853">
        <v>33</v>
      </c>
      <c r="D4853" t="s">
        <v>197</v>
      </c>
      <c r="E4853">
        <v>2633</v>
      </c>
      <c r="F4853" s="1">
        <v>0.26900000000000002</v>
      </c>
      <c r="G4853" s="1">
        <v>4.82E-2</v>
      </c>
      <c r="J4853" s="1">
        <v>2.5600000000000001E-2</v>
      </c>
      <c r="K4853" s="1">
        <v>0.31850000000000001</v>
      </c>
      <c r="Q4853" s="1">
        <v>0.1933</v>
      </c>
      <c r="U4853" s="1">
        <v>0.08</v>
      </c>
      <c r="V4853" s="1">
        <v>6.5500000000000003E-2</v>
      </c>
    </row>
    <row r="4854" spans="1:22" x14ac:dyDescent="0.25">
      <c r="A4854" t="s">
        <v>198</v>
      </c>
      <c r="B4854" t="s">
        <v>229</v>
      </c>
      <c r="C4854">
        <v>49</v>
      </c>
      <c r="D4854" t="s">
        <v>197</v>
      </c>
      <c r="E4854">
        <v>2633</v>
      </c>
      <c r="F4854" s="1">
        <v>0.27779999999999999</v>
      </c>
      <c r="J4854" s="1">
        <v>1.9400000000000001E-2</v>
      </c>
      <c r="K4854" s="1">
        <v>1.32E-2</v>
      </c>
      <c r="Q4854" s="1">
        <v>0.4098</v>
      </c>
      <c r="U4854" s="1">
        <v>0.1176</v>
      </c>
      <c r="V4854" s="1">
        <v>0.16220000000000001</v>
      </c>
    </row>
    <row r="4855" spans="1:22" x14ac:dyDescent="0.25">
      <c r="A4855" t="s">
        <v>198</v>
      </c>
      <c r="B4855" t="s">
        <v>228</v>
      </c>
      <c r="C4855">
        <v>145</v>
      </c>
      <c r="D4855" t="s">
        <v>199</v>
      </c>
      <c r="E4855">
        <v>2633</v>
      </c>
      <c r="F4855" s="1">
        <v>0.30199999999999999</v>
      </c>
      <c r="H4855" s="1">
        <v>1.9E-2</v>
      </c>
      <c r="K4855" s="1">
        <v>0.24740000000000001</v>
      </c>
      <c r="M4855" s="1">
        <v>1.01E-2</v>
      </c>
      <c r="Q4855" s="1">
        <v>0.21429999999999999</v>
      </c>
      <c r="S4855" s="1">
        <v>7.8600000000000003E-2</v>
      </c>
      <c r="T4855" s="1">
        <v>3.3999999999999998E-3</v>
      </c>
      <c r="U4855" s="1">
        <v>1.49E-2</v>
      </c>
      <c r="V4855" s="1">
        <v>0.11020000000000001</v>
      </c>
    </row>
    <row r="4856" spans="1:22" x14ac:dyDescent="0.25">
      <c r="A4856" t="s">
        <v>198</v>
      </c>
      <c r="B4856" t="s">
        <v>229</v>
      </c>
      <c r="C4856">
        <v>213</v>
      </c>
      <c r="D4856" t="s">
        <v>199</v>
      </c>
      <c r="E4856">
        <v>2633</v>
      </c>
      <c r="F4856" s="1">
        <v>0.25</v>
      </c>
      <c r="I4856" s="1">
        <v>2E-3</v>
      </c>
      <c r="J4856" s="1">
        <v>8.0000000000000004E-4</v>
      </c>
      <c r="K4856" s="1">
        <v>4.82E-2</v>
      </c>
      <c r="L4856" s="1">
        <v>1.04E-2</v>
      </c>
      <c r="M4856" s="1">
        <v>3.0000000000000001E-3</v>
      </c>
      <c r="P4856" s="1">
        <v>1.1999999999999999E-3</v>
      </c>
      <c r="Q4856" s="1">
        <v>0.22040000000000001</v>
      </c>
      <c r="S4856" s="1">
        <v>1.1299999999999999E-2</v>
      </c>
      <c r="U4856" s="1">
        <v>4.0000000000000002E-4</v>
      </c>
      <c r="V4856" s="1">
        <v>0.45219999999999999</v>
      </c>
    </row>
    <row r="4857" spans="1:22" x14ac:dyDescent="0.25">
      <c r="A4857" t="s">
        <v>198</v>
      </c>
      <c r="B4857" t="s">
        <v>229</v>
      </c>
      <c r="C4857">
        <v>270</v>
      </c>
      <c r="D4857" t="s">
        <v>200</v>
      </c>
      <c r="E4857">
        <v>2633</v>
      </c>
      <c r="F4857" s="1">
        <v>0.33850000000000002</v>
      </c>
      <c r="I4857" s="1">
        <v>3.8E-3</v>
      </c>
      <c r="K4857" s="1">
        <v>4.5400000000000003E-2</v>
      </c>
      <c r="L4857" s="1">
        <v>4.6300000000000001E-2</v>
      </c>
      <c r="M4857" s="1">
        <v>6.3E-3</v>
      </c>
      <c r="Q4857" s="1">
        <v>0.24510000000000001</v>
      </c>
      <c r="R4857" s="1">
        <v>9.7999999999999997E-3</v>
      </c>
      <c r="S4857" s="1">
        <v>3.0999999999999999E-3</v>
      </c>
      <c r="U4857" s="1">
        <v>7.7000000000000002E-3</v>
      </c>
      <c r="V4857" s="1">
        <v>0.29409999999999997</v>
      </c>
    </row>
    <row r="4858" spans="1:22" x14ac:dyDescent="0.25">
      <c r="A4858" t="s">
        <v>198</v>
      </c>
      <c r="B4858" t="s">
        <v>228</v>
      </c>
      <c r="C4858">
        <v>112</v>
      </c>
      <c r="D4858" t="s">
        <v>200</v>
      </c>
      <c r="E4858">
        <v>2633</v>
      </c>
      <c r="F4858" s="1">
        <v>0.22059999999999999</v>
      </c>
      <c r="K4858" s="1">
        <v>0.35770000000000002</v>
      </c>
      <c r="L4858" s="1">
        <v>4.1000000000000003E-3</v>
      </c>
      <c r="M4858" s="1">
        <v>2.3E-2</v>
      </c>
      <c r="Q4858" s="1">
        <v>0.22239999999999999</v>
      </c>
      <c r="S4858" s="1">
        <v>7.4999999999999997E-3</v>
      </c>
      <c r="U4858" s="1">
        <v>9.5899999999999999E-2</v>
      </c>
      <c r="V4858" s="1">
        <v>6.88E-2</v>
      </c>
    </row>
    <row r="4859" spans="1:22" x14ac:dyDescent="0.25">
      <c r="A4859" t="s">
        <v>198</v>
      </c>
      <c r="B4859" t="s">
        <v>228</v>
      </c>
      <c r="C4859">
        <v>95</v>
      </c>
      <c r="D4859" t="s">
        <v>201</v>
      </c>
      <c r="E4859">
        <v>2633</v>
      </c>
      <c r="F4859" s="1">
        <v>0.23830000000000001</v>
      </c>
      <c r="H4859" s="1">
        <v>2.24E-2</v>
      </c>
      <c r="K4859" s="1">
        <v>0.1409</v>
      </c>
      <c r="L4859" s="1">
        <v>8.7599999999999997E-2</v>
      </c>
      <c r="M4859" s="1">
        <v>5.8999999999999999E-3</v>
      </c>
      <c r="Q4859" s="1">
        <v>0.26750000000000002</v>
      </c>
      <c r="S4859" s="1">
        <v>6.7199999999999996E-2</v>
      </c>
      <c r="U4859" s="1">
        <v>3.1199999999999999E-2</v>
      </c>
      <c r="V4859" s="1">
        <v>0.1389</v>
      </c>
    </row>
    <row r="4860" spans="1:22" x14ac:dyDescent="0.25">
      <c r="A4860" t="s">
        <v>198</v>
      </c>
      <c r="B4860" t="s">
        <v>229</v>
      </c>
      <c r="C4860">
        <v>155</v>
      </c>
      <c r="D4860" t="s">
        <v>201</v>
      </c>
      <c r="E4860">
        <v>2633</v>
      </c>
      <c r="F4860" s="1">
        <v>0.2482</v>
      </c>
      <c r="J4860" s="1">
        <v>9.1000000000000004E-3</v>
      </c>
      <c r="K4860" s="1">
        <v>4.9299999999999997E-2</v>
      </c>
      <c r="L4860" s="1">
        <v>0.1716</v>
      </c>
      <c r="M4860" s="1">
        <v>1.5299999999999999E-2</v>
      </c>
      <c r="Q4860" s="1">
        <v>0.25940000000000002</v>
      </c>
      <c r="R4860" s="1">
        <v>1.32E-2</v>
      </c>
      <c r="S4860" s="1">
        <v>4.3499999999999997E-2</v>
      </c>
      <c r="U4860" s="1">
        <v>1.09E-2</v>
      </c>
      <c r="V4860" s="1">
        <v>0.17960000000000001</v>
      </c>
    </row>
    <row r="4861" spans="1:22" s="29" customFormat="1" x14ac:dyDescent="0.25">
      <c r="A4861" s="29" t="s">
        <v>198</v>
      </c>
      <c r="B4861" s="29" t="s">
        <v>228</v>
      </c>
      <c r="C4861" s="29">
        <v>28</v>
      </c>
      <c r="D4861" s="29" t="s">
        <v>202</v>
      </c>
      <c r="E4861" s="29">
        <v>2633</v>
      </c>
      <c r="F4861" s="30">
        <v>0.1085</v>
      </c>
      <c r="K4861" s="30">
        <v>0.68479999999999996</v>
      </c>
      <c r="Q4861" s="30">
        <v>0.1328</v>
      </c>
      <c r="R4861" s="30">
        <v>4.0099999999999997E-2</v>
      </c>
      <c r="T4861" s="30">
        <v>3.39E-2</v>
      </c>
    </row>
    <row r="4862" spans="1:22" x14ac:dyDescent="0.25">
      <c r="A4862" t="s">
        <v>198</v>
      </c>
      <c r="B4862" t="s">
        <v>229</v>
      </c>
      <c r="C4862">
        <v>68</v>
      </c>
      <c r="D4862" t="s">
        <v>202</v>
      </c>
      <c r="E4862">
        <v>2633</v>
      </c>
      <c r="F4862" s="1">
        <v>0.2407</v>
      </c>
      <c r="K4862" s="1">
        <v>3.09E-2</v>
      </c>
      <c r="L4862" s="1">
        <v>2.29E-2</v>
      </c>
      <c r="Q4862" s="1">
        <v>0.46800000000000003</v>
      </c>
      <c r="R4862" s="1">
        <v>3.2399999999999998E-2</v>
      </c>
      <c r="U4862" s="1">
        <v>1.78E-2</v>
      </c>
      <c r="V4862" s="1">
        <v>0.18720000000000001</v>
      </c>
    </row>
    <row r="4863" spans="1:22" x14ac:dyDescent="0.25">
      <c r="A4863" t="s">
        <v>203</v>
      </c>
      <c r="B4863" t="s">
        <v>229</v>
      </c>
      <c r="C4863">
        <v>370</v>
      </c>
      <c r="D4863" t="s">
        <v>199</v>
      </c>
      <c r="E4863">
        <v>2633</v>
      </c>
      <c r="F4863" s="1">
        <v>0.26229999999999998</v>
      </c>
      <c r="J4863" s="1">
        <v>1.2800000000000001E-2</v>
      </c>
      <c r="K4863" s="1">
        <v>7.22E-2</v>
      </c>
      <c r="L4863" s="1">
        <v>3.5000000000000001E-3</v>
      </c>
      <c r="M4863" s="1">
        <v>4.3E-3</v>
      </c>
      <c r="Q4863" s="1">
        <v>0.1827</v>
      </c>
      <c r="R4863" s="1">
        <v>3.0099999999999998E-2</v>
      </c>
      <c r="S4863" s="1">
        <v>2.3800000000000002E-2</v>
      </c>
      <c r="U4863" s="1">
        <v>2.2000000000000001E-3</v>
      </c>
      <c r="V4863" s="1">
        <v>0.40610000000000002</v>
      </c>
    </row>
    <row r="4864" spans="1:22" x14ac:dyDescent="0.25">
      <c r="A4864" t="s">
        <v>203</v>
      </c>
      <c r="B4864" t="s">
        <v>228</v>
      </c>
      <c r="C4864">
        <v>150</v>
      </c>
      <c r="D4864" t="s">
        <v>199</v>
      </c>
      <c r="E4864">
        <v>2633</v>
      </c>
      <c r="F4864" s="1">
        <v>0.25650000000000001</v>
      </c>
      <c r="J4864" s="1">
        <v>8.5000000000000006E-3</v>
      </c>
      <c r="K4864" s="1">
        <v>0.42509999999999998</v>
      </c>
      <c r="L4864" s="1">
        <v>1.8700000000000001E-2</v>
      </c>
      <c r="M4864" s="1">
        <v>5.1999999999999998E-3</v>
      </c>
      <c r="Q4864" s="1">
        <v>0.1404</v>
      </c>
      <c r="R4864" s="1">
        <v>2E-3</v>
      </c>
      <c r="S4864" s="1">
        <v>1.37E-2</v>
      </c>
      <c r="T4864" s="1">
        <v>8.5000000000000006E-3</v>
      </c>
      <c r="U4864" s="1">
        <v>3.15E-2</v>
      </c>
      <c r="V4864" s="1">
        <v>8.9800000000000005E-2</v>
      </c>
    </row>
    <row r="4865" spans="1:22" x14ac:dyDescent="0.25">
      <c r="A4865" t="s">
        <v>203</v>
      </c>
      <c r="B4865" t="s">
        <v>229</v>
      </c>
      <c r="C4865">
        <v>347</v>
      </c>
      <c r="D4865" t="s">
        <v>200</v>
      </c>
      <c r="E4865">
        <v>2633</v>
      </c>
      <c r="F4865" s="1">
        <v>0.2908</v>
      </c>
      <c r="J4865" s="1">
        <v>5.9999999999999995E-4</v>
      </c>
      <c r="K4865" s="1">
        <v>6.5299999999999997E-2</v>
      </c>
      <c r="L4865" s="1">
        <v>3.9399999999999998E-2</v>
      </c>
      <c r="M4865" s="1">
        <v>6.9999999999999999E-4</v>
      </c>
      <c r="Q4865" s="1">
        <v>0.37469999999999998</v>
      </c>
      <c r="R4865" s="1">
        <v>3.1600000000000003E-2</v>
      </c>
      <c r="S4865" s="1">
        <v>8.0000000000000002E-3</v>
      </c>
      <c r="U4865" s="1">
        <v>1E-4</v>
      </c>
      <c r="V4865" s="1">
        <v>0.1888</v>
      </c>
    </row>
    <row r="4866" spans="1:22" x14ac:dyDescent="0.25">
      <c r="A4866" t="s">
        <v>203</v>
      </c>
      <c r="B4866" t="s">
        <v>228</v>
      </c>
      <c r="C4866">
        <v>155</v>
      </c>
      <c r="D4866" t="s">
        <v>200</v>
      </c>
      <c r="E4866">
        <v>2633</v>
      </c>
      <c r="F4866" s="1">
        <v>0.16270000000000001</v>
      </c>
      <c r="I4866" s="1">
        <v>2.0999999999999999E-3</v>
      </c>
      <c r="J4866" s="1">
        <v>2.0999999999999999E-3</v>
      </c>
      <c r="K4866" s="1">
        <v>0.48520000000000002</v>
      </c>
      <c r="L4866" s="1">
        <v>2.2499999999999999E-2</v>
      </c>
      <c r="M4866" s="1">
        <v>2.0999999999999999E-3</v>
      </c>
      <c r="Q4866" s="1">
        <v>0.1467</v>
      </c>
      <c r="R4866" s="1">
        <v>6.6799999999999998E-2</v>
      </c>
      <c r="S4866" s="1">
        <v>1.0200000000000001E-2</v>
      </c>
      <c r="U4866" s="1">
        <v>2.6200000000000001E-2</v>
      </c>
      <c r="V4866" s="1">
        <v>7.3300000000000004E-2</v>
      </c>
    </row>
    <row r="4867" spans="1:22" x14ac:dyDescent="0.25">
      <c r="A4867" t="s">
        <v>203</v>
      </c>
      <c r="B4867" t="s">
        <v>229</v>
      </c>
      <c r="C4867">
        <v>137</v>
      </c>
      <c r="D4867" t="s">
        <v>201</v>
      </c>
      <c r="E4867">
        <v>2633</v>
      </c>
      <c r="F4867" s="1">
        <v>0.1308</v>
      </c>
      <c r="I4867" s="1">
        <v>3.2000000000000002E-3</v>
      </c>
      <c r="K4867" s="1">
        <v>0.1361</v>
      </c>
      <c r="L4867" s="1">
        <v>3.2000000000000001E-2</v>
      </c>
      <c r="M4867" s="1">
        <v>3.8199999999999998E-2</v>
      </c>
      <c r="Q4867" s="1">
        <v>0.441</v>
      </c>
      <c r="S4867" s="1">
        <v>0.11700000000000001</v>
      </c>
      <c r="V4867" s="1">
        <v>0.1016</v>
      </c>
    </row>
    <row r="4868" spans="1:22" x14ac:dyDescent="0.25">
      <c r="A4868" t="s">
        <v>203</v>
      </c>
      <c r="B4868" t="s">
        <v>228</v>
      </c>
      <c r="C4868">
        <v>177</v>
      </c>
      <c r="D4868" t="s">
        <v>201</v>
      </c>
      <c r="E4868">
        <v>2633</v>
      </c>
      <c r="F4868" s="1">
        <v>7.0699999999999999E-2</v>
      </c>
      <c r="H4868" s="1">
        <v>4.8999999999999998E-3</v>
      </c>
      <c r="I4868" s="1">
        <v>3.3599999999999998E-2</v>
      </c>
      <c r="J4868" s="1">
        <v>8.0000000000000004E-4</v>
      </c>
      <c r="K4868" s="1">
        <v>0.1215</v>
      </c>
      <c r="L4868" s="1">
        <v>3.2000000000000002E-3</v>
      </c>
      <c r="M4868" s="1">
        <v>3.3E-3</v>
      </c>
      <c r="N4868" s="1">
        <v>7.9000000000000008E-3</v>
      </c>
      <c r="O4868" s="1">
        <v>8.0000000000000004E-4</v>
      </c>
      <c r="P4868" s="1">
        <v>8.0000000000000004E-4</v>
      </c>
      <c r="Q4868" s="1">
        <v>0.47410000000000002</v>
      </c>
      <c r="R4868" s="1">
        <v>1.24E-2</v>
      </c>
      <c r="S4868" s="1">
        <v>0.1983</v>
      </c>
      <c r="U4868" s="1">
        <v>9.4999999999999998E-3</v>
      </c>
      <c r="V4868" s="1">
        <v>5.8200000000000002E-2</v>
      </c>
    </row>
    <row r="4869" spans="1:22" x14ac:dyDescent="0.25">
      <c r="A4869" t="s">
        <v>203</v>
      </c>
      <c r="B4869" t="s">
        <v>228</v>
      </c>
      <c r="C4869">
        <v>34</v>
      </c>
      <c r="D4869" t="s">
        <v>202</v>
      </c>
      <c r="E4869">
        <v>2633</v>
      </c>
      <c r="F4869" s="1">
        <v>0.16689999999999999</v>
      </c>
      <c r="J4869" s="1">
        <v>3.6200000000000003E-2</v>
      </c>
      <c r="K4869" s="1">
        <v>0.55210000000000004</v>
      </c>
      <c r="Q4869" s="1">
        <v>0.24479999999999999</v>
      </c>
    </row>
    <row r="4870" spans="1:22" x14ac:dyDescent="0.25">
      <c r="A4870" t="s">
        <v>203</v>
      </c>
      <c r="B4870" t="s">
        <v>229</v>
      </c>
      <c r="C4870">
        <v>56</v>
      </c>
      <c r="D4870" t="s">
        <v>202</v>
      </c>
      <c r="E4870">
        <v>2633</v>
      </c>
      <c r="F4870" s="1">
        <v>8.8400000000000006E-2</v>
      </c>
      <c r="K4870" s="1">
        <v>2.0400000000000001E-2</v>
      </c>
      <c r="L4870" s="1">
        <v>1.43E-2</v>
      </c>
      <c r="M4870" s="1">
        <v>1.8800000000000001E-2</v>
      </c>
      <c r="Q4870" s="1">
        <v>0.55279999999999996</v>
      </c>
      <c r="R4870" s="1">
        <v>1.2200000000000001E-2</v>
      </c>
      <c r="U4870" s="1">
        <v>6.8999999999999999E-3</v>
      </c>
      <c r="V4870" s="1">
        <v>0.2863</v>
      </c>
    </row>
    <row r="4871" spans="1:22" x14ac:dyDescent="0.25">
      <c r="A4871" t="s">
        <v>204</v>
      </c>
      <c r="B4871" t="s">
        <v>204</v>
      </c>
      <c r="C4871">
        <v>2633</v>
      </c>
      <c r="D4871" t="s">
        <v>204</v>
      </c>
      <c r="E4871">
        <v>2633</v>
      </c>
      <c r="F4871" s="1">
        <v>0.24940000000000001</v>
      </c>
      <c r="G4871" s="1">
        <v>1.4E-3</v>
      </c>
      <c r="H4871" s="1">
        <v>8.9999999999999998E-4</v>
      </c>
      <c r="I4871" s="1">
        <v>1.1999999999999999E-3</v>
      </c>
      <c r="J4871" s="1">
        <v>4.3E-3</v>
      </c>
      <c r="K4871" s="1">
        <v>0.13289999999999999</v>
      </c>
      <c r="L4871" s="1">
        <v>2.7799999999999998E-2</v>
      </c>
      <c r="M4871" s="1">
        <v>5.5999999999999999E-3</v>
      </c>
      <c r="N4871" s="1">
        <v>1E-4</v>
      </c>
      <c r="O4871" s="1">
        <v>0</v>
      </c>
      <c r="P4871" s="1">
        <v>1E-4</v>
      </c>
      <c r="Q4871" s="1">
        <v>0.3</v>
      </c>
      <c r="R4871" s="1">
        <v>2.06E-2</v>
      </c>
      <c r="S4871" s="1">
        <v>1.9199999999999998E-2</v>
      </c>
      <c r="T4871" s="1">
        <v>1E-3</v>
      </c>
      <c r="U4871" s="1">
        <v>1.5599999999999999E-2</v>
      </c>
      <c r="V4871" s="1">
        <v>0.2198</v>
      </c>
    </row>
    <row r="4873" spans="1:22" x14ac:dyDescent="0.25">
      <c r="A4873" t="s">
        <v>1038</v>
      </c>
    </row>
    <row r="4874" spans="1:22" x14ac:dyDescent="0.25">
      <c r="A4874" t="s">
        <v>190</v>
      </c>
      <c r="B4874" t="s">
        <v>206</v>
      </c>
      <c r="C4874" t="s">
        <v>195</v>
      </c>
      <c r="D4874" t="s">
        <v>189</v>
      </c>
      <c r="E4874" t="s">
        <v>196</v>
      </c>
      <c r="F4874" t="s">
        <v>1021</v>
      </c>
      <c r="G4874" t="s">
        <v>220</v>
      </c>
      <c r="H4874" t="s">
        <v>1022</v>
      </c>
      <c r="I4874" t="s">
        <v>1023</v>
      </c>
      <c r="J4874" t="s">
        <v>1024</v>
      </c>
      <c r="K4874" t="s">
        <v>1025</v>
      </c>
      <c r="L4874" t="s">
        <v>1026</v>
      </c>
      <c r="M4874" t="s">
        <v>1027</v>
      </c>
      <c r="N4874" t="s">
        <v>1028</v>
      </c>
      <c r="O4874" t="s">
        <v>1029</v>
      </c>
      <c r="P4874" t="s">
        <v>1030</v>
      </c>
      <c r="Q4874" t="s">
        <v>1031</v>
      </c>
      <c r="R4874" t="s">
        <v>1032</v>
      </c>
      <c r="S4874" t="s">
        <v>1033</v>
      </c>
      <c r="T4874" t="s">
        <v>1034</v>
      </c>
      <c r="U4874" t="s">
        <v>1035</v>
      </c>
      <c r="V4874" t="s">
        <v>1036</v>
      </c>
    </row>
    <row r="4875" spans="1:22" x14ac:dyDescent="0.25">
      <c r="A4875" t="s">
        <v>198</v>
      </c>
      <c r="B4875" t="s">
        <v>348</v>
      </c>
      <c r="C4875">
        <v>79</v>
      </c>
      <c r="D4875" t="s">
        <v>197</v>
      </c>
      <c r="E4875">
        <v>2633</v>
      </c>
      <c r="F4875" s="1">
        <v>0.26050000000000001</v>
      </c>
      <c r="G4875" s="1">
        <v>2.1499999999999998E-2</v>
      </c>
      <c r="J4875" s="1">
        <v>2.2800000000000001E-2</v>
      </c>
      <c r="K4875" s="1">
        <v>0.1386</v>
      </c>
      <c r="Q4875" s="1">
        <v>0.3271</v>
      </c>
      <c r="U4875" s="1">
        <v>0.10489999999999999</v>
      </c>
      <c r="V4875" s="1">
        <v>0.1246</v>
      </c>
    </row>
    <row r="4876" spans="1:22" s="29" customFormat="1" x14ac:dyDescent="0.25">
      <c r="A4876" s="29" t="s">
        <v>198</v>
      </c>
      <c r="B4876" s="29" t="s">
        <v>349</v>
      </c>
      <c r="C4876" s="29">
        <v>3</v>
      </c>
      <c r="D4876" s="29" t="s">
        <v>197</v>
      </c>
      <c r="E4876" s="29">
        <v>2633</v>
      </c>
      <c r="F4876" s="30">
        <v>0.66669999999999996</v>
      </c>
      <c r="K4876" s="30">
        <v>0.33329999999999999</v>
      </c>
    </row>
    <row r="4877" spans="1:22" x14ac:dyDescent="0.25">
      <c r="A4877" t="s">
        <v>198</v>
      </c>
      <c r="B4877" t="s">
        <v>348</v>
      </c>
      <c r="C4877">
        <v>54</v>
      </c>
      <c r="D4877" t="s">
        <v>199</v>
      </c>
      <c r="E4877">
        <v>2633</v>
      </c>
      <c r="F4877" s="1">
        <v>0.26319999999999999</v>
      </c>
      <c r="I4877" s="1">
        <v>1.09E-2</v>
      </c>
      <c r="K4877" s="1">
        <v>0.21590000000000001</v>
      </c>
      <c r="M4877" s="1">
        <v>5.8999999999999999E-3</v>
      </c>
      <c r="Q4877" s="1">
        <v>0.19589999999999999</v>
      </c>
      <c r="S4877" s="1">
        <v>2.5600000000000001E-2</v>
      </c>
      <c r="U4877" s="1">
        <v>6.1999999999999998E-3</v>
      </c>
      <c r="V4877" s="1">
        <v>0.27650000000000002</v>
      </c>
    </row>
    <row r="4878" spans="1:22" x14ac:dyDescent="0.25">
      <c r="A4878" t="s">
        <v>198</v>
      </c>
      <c r="B4878" t="s">
        <v>349</v>
      </c>
      <c r="C4878">
        <v>111</v>
      </c>
      <c r="D4878" t="s">
        <v>199</v>
      </c>
      <c r="E4878">
        <v>2633</v>
      </c>
      <c r="F4878" s="1">
        <v>0.215</v>
      </c>
      <c r="H4878" s="1">
        <v>1.09E-2</v>
      </c>
      <c r="K4878" s="1">
        <v>8.5800000000000001E-2</v>
      </c>
      <c r="L4878" s="1">
        <v>1.26E-2</v>
      </c>
      <c r="M4878" s="1">
        <v>6.9999999999999999E-4</v>
      </c>
      <c r="P4878" s="1">
        <v>2E-3</v>
      </c>
      <c r="Q4878" s="1">
        <v>0.25119999999999998</v>
      </c>
      <c r="S4878" s="1">
        <v>3.5200000000000002E-2</v>
      </c>
      <c r="T4878" s="1">
        <v>2E-3</v>
      </c>
      <c r="U4878" s="1">
        <v>3.8E-3</v>
      </c>
      <c r="V4878" s="1">
        <v>0.38090000000000002</v>
      </c>
    </row>
    <row r="4879" spans="1:22" x14ac:dyDescent="0.25">
      <c r="A4879" t="s">
        <v>198</v>
      </c>
      <c r="B4879" t="s">
        <v>350</v>
      </c>
      <c r="C4879">
        <v>193</v>
      </c>
      <c r="D4879" t="s">
        <v>199</v>
      </c>
      <c r="E4879">
        <v>2633</v>
      </c>
      <c r="F4879" s="1">
        <v>0.31730000000000003</v>
      </c>
      <c r="J4879" s="1">
        <v>1.5E-3</v>
      </c>
      <c r="K4879" s="1">
        <v>7.5300000000000006E-2</v>
      </c>
      <c r="L4879" s="1">
        <v>4.8999999999999998E-3</v>
      </c>
      <c r="M4879" s="1">
        <v>8.9999999999999993E-3</v>
      </c>
      <c r="Q4879" s="1">
        <v>0.19070000000000001</v>
      </c>
      <c r="S4879" s="1">
        <v>2.2599999999999999E-2</v>
      </c>
      <c r="U4879" s="1">
        <v>3.8999999999999998E-3</v>
      </c>
      <c r="V4879" s="1">
        <v>0.37469999999999998</v>
      </c>
    </row>
    <row r="4880" spans="1:22" x14ac:dyDescent="0.25">
      <c r="A4880" t="s">
        <v>198</v>
      </c>
      <c r="B4880" t="s">
        <v>350</v>
      </c>
      <c r="C4880">
        <v>78</v>
      </c>
      <c r="D4880" t="s">
        <v>200</v>
      </c>
      <c r="E4880">
        <v>2633</v>
      </c>
      <c r="F4880" s="1">
        <v>0.1905</v>
      </c>
      <c r="I4880" s="1">
        <v>4.1000000000000002E-2</v>
      </c>
      <c r="K4880" s="1">
        <v>0.1704</v>
      </c>
      <c r="L4880" s="1">
        <v>1.35E-2</v>
      </c>
      <c r="M4880" s="1">
        <v>4.1999999999999997E-3</v>
      </c>
      <c r="Q4880" s="1">
        <v>0.40970000000000001</v>
      </c>
      <c r="U4880" s="1">
        <v>0.10639999999999999</v>
      </c>
      <c r="V4880" s="1">
        <v>6.4199999999999993E-2</v>
      </c>
    </row>
    <row r="4881" spans="1:22" x14ac:dyDescent="0.25">
      <c r="A4881" t="s">
        <v>198</v>
      </c>
      <c r="B4881" t="s">
        <v>348</v>
      </c>
      <c r="C4881">
        <v>242</v>
      </c>
      <c r="D4881" t="s">
        <v>200</v>
      </c>
      <c r="E4881">
        <v>2633</v>
      </c>
      <c r="F4881" s="1">
        <v>0.32840000000000003</v>
      </c>
      <c r="K4881" s="1">
        <v>9.9500000000000005E-2</v>
      </c>
      <c r="L4881" s="1">
        <v>4.0800000000000003E-2</v>
      </c>
      <c r="M4881" s="1">
        <v>1.06E-2</v>
      </c>
      <c r="Q4881" s="1">
        <v>0.21790000000000001</v>
      </c>
      <c r="R4881" s="1">
        <v>8.6E-3</v>
      </c>
      <c r="S4881" s="1">
        <v>4.0000000000000001E-3</v>
      </c>
      <c r="U4881" s="1">
        <v>1.7999999999999999E-2</v>
      </c>
      <c r="V4881" s="1">
        <v>0.2722</v>
      </c>
    </row>
    <row r="4882" spans="1:22" x14ac:dyDescent="0.25">
      <c r="A4882" t="s">
        <v>198</v>
      </c>
      <c r="B4882" t="s">
        <v>349</v>
      </c>
      <c r="C4882">
        <v>62</v>
      </c>
      <c r="D4882" t="s">
        <v>200</v>
      </c>
      <c r="E4882">
        <v>2633</v>
      </c>
      <c r="F4882" s="1">
        <v>0.1981</v>
      </c>
      <c r="K4882" s="1">
        <v>0.33439999999999998</v>
      </c>
      <c r="M4882" s="1">
        <v>1.0800000000000001E-2</v>
      </c>
      <c r="Q4882" s="1">
        <v>0.36009999999999998</v>
      </c>
      <c r="S4882" s="1">
        <v>1.0800000000000001E-2</v>
      </c>
      <c r="U4882" s="1">
        <v>8.5800000000000001E-2</v>
      </c>
    </row>
    <row r="4883" spans="1:22" x14ac:dyDescent="0.25">
      <c r="A4883" t="s">
        <v>198</v>
      </c>
      <c r="B4883" t="s">
        <v>349</v>
      </c>
      <c r="C4883">
        <v>125</v>
      </c>
      <c r="D4883" t="s">
        <v>201</v>
      </c>
      <c r="E4883">
        <v>2633</v>
      </c>
      <c r="F4883" s="1">
        <v>0.23680000000000001</v>
      </c>
      <c r="J4883" s="1">
        <v>1.03E-2</v>
      </c>
      <c r="K4883" s="1">
        <v>5.11E-2</v>
      </c>
      <c r="L4883" s="1">
        <v>0.19470000000000001</v>
      </c>
      <c r="M4883" s="1">
        <v>1.77E-2</v>
      </c>
      <c r="Q4883" s="1">
        <v>0.25209999999999999</v>
      </c>
      <c r="R4883" s="1">
        <v>1.8E-3</v>
      </c>
      <c r="S4883" s="1">
        <v>4.6600000000000003E-2</v>
      </c>
      <c r="U4883" s="1">
        <v>5.5999999999999999E-3</v>
      </c>
      <c r="V4883" s="1">
        <v>0.18329999999999999</v>
      </c>
    </row>
    <row r="4884" spans="1:22" x14ac:dyDescent="0.25">
      <c r="A4884" t="s">
        <v>198</v>
      </c>
      <c r="B4884" t="s">
        <v>350</v>
      </c>
      <c r="C4884">
        <v>63</v>
      </c>
      <c r="D4884" t="s">
        <v>201</v>
      </c>
      <c r="E4884">
        <v>2633</v>
      </c>
      <c r="F4884" s="1">
        <v>0.39679999999999999</v>
      </c>
      <c r="K4884" s="1">
        <v>5.8799999999999998E-2</v>
      </c>
      <c r="M4884" s="1">
        <v>2.0799999999999999E-2</v>
      </c>
      <c r="Q4884" s="1">
        <v>0.25659999999999999</v>
      </c>
      <c r="S4884" s="1">
        <v>0.10290000000000001</v>
      </c>
      <c r="U4884" s="1">
        <v>8.4500000000000006E-2</v>
      </c>
      <c r="V4884" s="1">
        <v>7.9600000000000004E-2</v>
      </c>
    </row>
    <row r="4885" spans="1:22" x14ac:dyDescent="0.25">
      <c r="A4885" t="s">
        <v>198</v>
      </c>
      <c r="B4885" t="s">
        <v>348</v>
      </c>
      <c r="C4885">
        <v>62</v>
      </c>
      <c r="D4885" t="s">
        <v>201</v>
      </c>
      <c r="E4885">
        <v>2633</v>
      </c>
      <c r="F4885" s="1">
        <v>0.24390000000000001</v>
      </c>
      <c r="H4885" s="1">
        <v>1.8499999999999999E-2</v>
      </c>
      <c r="K4885" s="1">
        <v>0.11849999999999999</v>
      </c>
      <c r="L4885" s="1">
        <v>7.1099999999999997E-2</v>
      </c>
      <c r="Q4885" s="1">
        <v>0.28620000000000001</v>
      </c>
      <c r="R4885" s="1">
        <v>3.4799999999999998E-2</v>
      </c>
      <c r="S4885" s="1">
        <v>4.4299999999999999E-2</v>
      </c>
      <c r="U4885" s="1">
        <v>2.8799999999999999E-2</v>
      </c>
      <c r="V4885" s="1">
        <v>0.15390000000000001</v>
      </c>
    </row>
    <row r="4886" spans="1:22" x14ac:dyDescent="0.25">
      <c r="A4886" t="s">
        <v>198</v>
      </c>
      <c r="B4886" t="s">
        <v>348</v>
      </c>
      <c r="C4886">
        <v>96</v>
      </c>
      <c r="D4886" t="s">
        <v>202</v>
      </c>
      <c r="E4886">
        <v>2633</v>
      </c>
      <c r="F4886" s="1">
        <v>0.2094</v>
      </c>
      <c r="K4886" s="1">
        <v>0.1855</v>
      </c>
      <c r="L4886" s="1">
        <v>1.7500000000000002E-2</v>
      </c>
      <c r="Q4886" s="1">
        <v>0.38879999999999998</v>
      </c>
      <c r="R4886" s="1">
        <v>3.4299999999999997E-2</v>
      </c>
      <c r="T4886" s="1">
        <v>8.0000000000000002E-3</v>
      </c>
      <c r="U4886" s="1">
        <v>1.3599999999999999E-2</v>
      </c>
      <c r="V4886" s="1">
        <v>0.1429</v>
      </c>
    </row>
    <row r="4887" spans="1:22" x14ac:dyDescent="0.25">
      <c r="A4887" t="s">
        <v>203</v>
      </c>
      <c r="B4887" t="s">
        <v>349</v>
      </c>
      <c r="C4887">
        <v>171</v>
      </c>
      <c r="D4887" t="s">
        <v>199</v>
      </c>
      <c r="E4887">
        <v>2633</v>
      </c>
      <c r="F4887" s="1">
        <v>0.2467</v>
      </c>
      <c r="J4887" s="1">
        <v>1.18E-2</v>
      </c>
      <c r="K4887" s="1">
        <v>0.26800000000000002</v>
      </c>
      <c r="L4887" s="1">
        <v>1.0800000000000001E-2</v>
      </c>
      <c r="M4887" s="1">
        <v>3.3999999999999998E-3</v>
      </c>
      <c r="Q4887" s="1">
        <v>9.1600000000000001E-2</v>
      </c>
      <c r="R4887" s="1">
        <v>1.6999999999999999E-3</v>
      </c>
      <c r="S4887" s="1">
        <v>5.5999999999999999E-3</v>
      </c>
      <c r="T4887" s="1">
        <v>2.8E-3</v>
      </c>
      <c r="U4887" s="1">
        <v>1.0200000000000001E-2</v>
      </c>
      <c r="V4887" s="1">
        <v>0.34739999999999999</v>
      </c>
    </row>
    <row r="4888" spans="1:22" x14ac:dyDescent="0.25">
      <c r="A4888" t="s">
        <v>203</v>
      </c>
      <c r="B4888" t="s">
        <v>348</v>
      </c>
      <c r="C4888">
        <v>42</v>
      </c>
      <c r="D4888" t="s">
        <v>199</v>
      </c>
      <c r="E4888">
        <v>2633</v>
      </c>
      <c r="F4888" s="1">
        <v>0.31780000000000003</v>
      </c>
      <c r="K4888" s="1">
        <v>4.19E-2</v>
      </c>
      <c r="Q4888" s="1">
        <v>0.1802</v>
      </c>
      <c r="R4888" s="1">
        <v>1.4999999999999999E-2</v>
      </c>
      <c r="S4888" s="1">
        <v>9.74E-2</v>
      </c>
      <c r="V4888" s="1">
        <v>0.3478</v>
      </c>
    </row>
    <row r="4889" spans="1:22" x14ac:dyDescent="0.25">
      <c r="A4889" t="s">
        <v>203</v>
      </c>
      <c r="B4889" t="s">
        <v>350</v>
      </c>
      <c r="C4889">
        <v>307</v>
      </c>
      <c r="D4889" t="s">
        <v>199</v>
      </c>
      <c r="E4889">
        <v>2633</v>
      </c>
      <c r="F4889" s="1">
        <v>0.2656</v>
      </c>
      <c r="J4889" s="1">
        <v>1.34E-2</v>
      </c>
      <c r="K4889" s="1">
        <v>3.2599999999999997E-2</v>
      </c>
      <c r="L4889" s="1">
        <v>2.5000000000000001E-3</v>
      </c>
      <c r="M4889" s="1">
        <v>5.1000000000000004E-3</v>
      </c>
      <c r="Q4889" s="1">
        <v>0.22259999999999999</v>
      </c>
      <c r="R4889" s="1">
        <v>4.1099999999999998E-2</v>
      </c>
      <c r="S4889" s="1">
        <v>2.6599999999999999E-2</v>
      </c>
      <c r="U4889" s="1">
        <v>3.0999999999999999E-3</v>
      </c>
      <c r="V4889" s="1">
        <v>0.38740000000000002</v>
      </c>
    </row>
    <row r="4890" spans="1:22" x14ac:dyDescent="0.25">
      <c r="A4890" t="s">
        <v>203</v>
      </c>
      <c r="B4890" t="s">
        <v>348</v>
      </c>
      <c r="C4890">
        <v>300</v>
      </c>
      <c r="D4890" t="s">
        <v>200</v>
      </c>
      <c r="E4890">
        <v>2633</v>
      </c>
      <c r="F4890" s="1">
        <v>0.27489999999999998</v>
      </c>
      <c r="I4890" s="1">
        <v>5.0000000000000001E-4</v>
      </c>
      <c r="J4890" s="1">
        <v>5.0000000000000001E-4</v>
      </c>
      <c r="K4890" s="1">
        <v>0.15490000000000001</v>
      </c>
      <c r="L4890" s="1">
        <v>4.0099999999999997E-2</v>
      </c>
      <c r="M4890" s="1">
        <v>1.1000000000000001E-3</v>
      </c>
      <c r="Q4890" s="1">
        <v>0.2848</v>
      </c>
      <c r="R4890" s="1">
        <v>4.3299999999999998E-2</v>
      </c>
      <c r="S4890" s="1">
        <v>9.4999999999999998E-3</v>
      </c>
      <c r="U4890" s="1">
        <v>5.0000000000000001E-3</v>
      </c>
      <c r="V4890" s="1">
        <v>0.18540000000000001</v>
      </c>
    </row>
    <row r="4891" spans="1:22" x14ac:dyDescent="0.25">
      <c r="A4891" t="s">
        <v>203</v>
      </c>
      <c r="B4891" t="s">
        <v>349</v>
      </c>
      <c r="C4891">
        <v>108</v>
      </c>
      <c r="D4891" t="s">
        <v>200</v>
      </c>
      <c r="E4891">
        <v>2633</v>
      </c>
      <c r="F4891" s="1">
        <v>0.19819999999999999</v>
      </c>
      <c r="K4891" s="1">
        <v>7.8899999999999998E-2</v>
      </c>
      <c r="L4891" s="1">
        <v>6.4999999999999997E-3</v>
      </c>
      <c r="Q4891" s="1">
        <v>0.71479999999999999</v>
      </c>
      <c r="U4891" s="1">
        <v>1.6999999999999999E-3</v>
      </c>
    </row>
    <row r="4892" spans="1:22" x14ac:dyDescent="0.25">
      <c r="A4892" t="s">
        <v>203</v>
      </c>
      <c r="B4892" t="s">
        <v>350</v>
      </c>
      <c r="C4892">
        <v>94</v>
      </c>
      <c r="D4892" t="s">
        <v>200</v>
      </c>
      <c r="E4892">
        <v>2633</v>
      </c>
      <c r="F4892" s="1">
        <v>0.19089999999999999</v>
      </c>
      <c r="J4892" s="1">
        <v>1.55E-2</v>
      </c>
      <c r="K4892" s="1">
        <v>8.6400000000000005E-2</v>
      </c>
      <c r="Q4892" s="1">
        <v>0.62760000000000005</v>
      </c>
      <c r="U4892" s="1">
        <v>1.77E-2</v>
      </c>
      <c r="V4892" s="1">
        <v>6.1800000000000001E-2</v>
      </c>
    </row>
    <row r="4893" spans="1:22" x14ac:dyDescent="0.25">
      <c r="A4893" t="s">
        <v>203</v>
      </c>
      <c r="B4893" t="s">
        <v>348</v>
      </c>
      <c r="C4893">
        <v>62</v>
      </c>
      <c r="D4893" t="s">
        <v>201</v>
      </c>
      <c r="E4893">
        <v>2633</v>
      </c>
      <c r="F4893" s="1">
        <v>0.1158</v>
      </c>
      <c r="I4893" s="1">
        <v>7.8E-2</v>
      </c>
      <c r="K4893" s="1">
        <v>0.28149999999999997</v>
      </c>
      <c r="L4893" s="1">
        <v>5.1999999999999998E-3</v>
      </c>
      <c r="Q4893" s="1">
        <v>0.39050000000000001</v>
      </c>
      <c r="R4893" s="1">
        <v>2.52E-2</v>
      </c>
      <c r="S4893" s="1">
        <v>8.4099999999999994E-2</v>
      </c>
      <c r="V4893" s="1">
        <v>1.9699999999999999E-2</v>
      </c>
    </row>
    <row r="4894" spans="1:22" x14ac:dyDescent="0.25">
      <c r="A4894" t="s">
        <v>203</v>
      </c>
      <c r="B4894" t="s">
        <v>349</v>
      </c>
      <c r="C4894">
        <v>147</v>
      </c>
      <c r="D4894" t="s">
        <v>201</v>
      </c>
      <c r="E4894">
        <v>2633</v>
      </c>
      <c r="F4894" s="1">
        <v>0.10390000000000001</v>
      </c>
      <c r="I4894" s="1">
        <v>2.3E-3</v>
      </c>
      <c r="K4894" s="1">
        <v>0.12180000000000001</v>
      </c>
      <c r="L4894" s="1">
        <v>2.9700000000000001E-2</v>
      </c>
      <c r="M4894" s="1">
        <v>3.4299999999999997E-2</v>
      </c>
      <c r="N4894" s="1">
        <v>2.3E-3</v>
      </c>
      <c r="Q4894" s="1">
        <v>0.45319999999999999</v>
      </c>
      <c r="S4894" s="1">
        <v>0.14580000000000001</v>
      </c>
      <c r="U4894" s="1">
        <v>2.3E-3</v>
      </c>
      <c r="V4894" s="1">
        <v>0.10440000000000001</v>
      </c>
    </row>
    <row r="4895" spans="1:22" x14ac:dyDescent="0.25">
      <c r="A4895" t="s">
        <v>203</v>
      </c>
      <c r="B4895" t="s">
        <v>350</v>
      </c>
      <c r="C4895">
        <v>105</v>
      </c>
      <c r="D4895" t="s">
        <v>201</v>
      </c>
      <c r="E4895">
        <v>2633</v>
      </c>
      <c r="F4895" s="1">
        <v>0.2606</v>
      </c>
      <c r="H4895" s="1">
        <v>1.6199999999999999E-2</v>
      </c>
      <c r="J4895" s="1">
        <v>2.8E-3</v>
      </c>
      <c r="K4895" s="1">
        <v>2.7199999999999998E-2</v>
      </c>
      <c r="L4895" s="1">
        <v>2.8E-3</v>
      </c>
      <c r="M4895" s="1">
        <v>2.4500000000000001E-2</v>
      </c>
      <c r="O4895" s="1">
        <v>2.8E-3</v>
      </c>
      <c r="P4895" s="1">
        <v>2.8E-3</v>
      </c>
      <c r="Q4895" s="1">
        <v>0.49059999999999998</v>
      </c>
      <c r="R4895" s="1">
        <v>2.8E-3</v>
      </c>
      <c r="S4895" s="1">
        <v>0.11020000000000001</v>
      </c>
      <c r="U4895" s="1">
        <v>5.4999999999999997E-3</v>
      </c>
      <c r="V4895" s="1">
        <v>5.1499999999999997E-2</v>
      </c>
    </row>
    <row r="4896" spans="1:22" x14ac:dyDescent="0.25">
      <c r="A4896" t="s">
        <v>203</v>
      </c>
      <c r="B4896" t="s">
        <v>348</v>
      </c>
      <c r="C4896">
        <v>90</v>
      </c>
      <c r="D4896" t="s">
        <v>202</v>
      </c>
      <c r="E4896">
        <v>2633</v>
      </c>
      <c r="F4896" s="1">
        <v>0.1106</v>
      </c>
      <c r="J4896" s="1">
        <v>1.0200000000000001E-2</v>
      </c>
      <c r="K4896" s="1">
        <v>0.17069999999999999</v>
      </c>
      <c r="L4896" s="1">
        <v>1.0200000000000001E-2</v>
      </c>
      <c r="M4896" s="1">
        <v>1.35E-2</v>
      </c>
      <c r="Q4896" s="1">
        <v>0.4657</v>
      </c>
      <c r="R4896" s="1">
        <v>8.8000000000000005E-3</v>
      </c>
      <c r="U4896" s="1">
        <v>4.8999999999999998E-3</v>
      </c>
      <c r="V4896" s="1">
        <v>0.2054</v>
      </c>
    </row>
    <row r="4897" spans="1:22" x14ac:dyDescent="0.25">
      <c r="A4897" t="s">
        <v>204</v>
      </c>
      <c r="B4897" t="s">
        <v>204</v>
      </c>
      <c r="C4897">
        <v>2633</v>
      </c>
      <c r="D4897" t="s">
        <v>204</v>
      </c>
      <c r="E4897">
        <v>2633</v>
      </c>
      <c r="F4897" s="1">
        <v>0.24940000000000001</v>
      </c>
      <c r="G4897" s="1">
        <v>1.4E-3</v>
      </c>
      <c r="H4897" s="1">
        <v>8.9999999999999998E-4</v>
      </c>
      <c r="I4897" s="1">
        <v>1.1999999999999999E-3</v>
      </c>
      <c r="J4897" s="1">
        <v>4.3E-3</v>
      </c>
      <c r="K4897" s="1">
        <v>0.13289999999999999</v>
      </c>
      <c r="L4897" s="1">
        <v>2.7799999999999998E-2</v>
      </c>
      <c r="M4897" s="1">
        <v>5.5999999999999999E-3</v>
      </c>
      <c r="N4897" s="1">
        <v>1E-4</v>
      </c>
      <c r="O4897" s="1">
        <v>0</v>
      </c>
      <c r="P4897" s="1">
        <v>1E-4</v>
      </c>
      <c r="Q4897" s="1">
        <v>0.3</v>
      </c>
      <c r="R4897" s="1">
        <v>2.06E-2</v>
      </c>
      <c r="S4897" s="1">
        <v>1.9199999999999998E-2</v>
      </c>
      <c r="T4897" s="1">
        <v>1E-3</v>
      </c>
      <c r="U4897" s="1">
        <v>1.5599999999999999E-2</v>
      </c>
      <c r="V4897" s="1">
        <v>0.2198</v>
      </c>
    </row>
    <row r="4899" spans="1:22" x14ac:dyDescent="0.25">
      <c r="A4899" t="s">
        <v>1039</v>
      </c>
    </row>
    <row r="4900" spans="1:22" x14ac:dyDescent="0.25">
      <c r="A4900" t="s">
        <v>189</v>
      </c>
      <c r="B4900" t="s">
        <v>190</v>
      </c>
      <c r="C4900" t="s">
        <v>191</v>
      </c>
      <c r="D4900" t="s">
        <v>192</v>
      </c>
      <c r="E4900" t="s">
        <v>193</v>
      </c>
      <c r="F4900" t="s">
        <v>194</v>
      </c>
      <c r="G4900" t="s">
        <v>195</v>
      </c>
      <c r="H4900" t="s">
        <v>196</v>
      </c>
    </row>
    <row r="4901" spans="1:22" x14ac:dyDescent="0.25">
      <c r="A4901" t="s">
        <v>197</v>
      </c>
      <c r="B4901" t="s">
        <v>198</v>
      </c>
      <c r="C4901">
        <v>22.898723160256459</v>
      </c>
      <c r="D4901">
        <v>10</v>
      </c>
      <c r="E4901">
        <v>2</v>
      </c>
      <c r="F4901">
        <v>180</v>
      </c>
      <c r="G4901">
        <v>44</v>
      </c>
      <c r="H4901">
        <v>1330</v>
      </c>
    </row>
    <row r="4902" spans="1:22" x14ac:dyDescent="0.25">
      <c r="A4902" t="s">
        <v>199</v>
      </c>
      <c r="B4902" t="s">
        <v>198</v>
      </c>
      <c r="C4902">
        <v>13.036055956430319</v>
      </c>
      <c r="D4902">
        <v>10</v>
      </c>
      <c r="E4902">
        <v>1</v>
      </c>
      <c r="F4902">
        <v>200</v>
      </c>
      <c r="G4902">
        <v>225</v>
      </c>
      <c r="H4902">
        <v>1330</v>
      </c>
    </row>
    <row r="4903" spans="1:22" x14ac:dyDescent="0.25">
      <c r="A4903" t="s">
        <v>200</v>
      </c>
      <c r="B4903" t="s">
        <v>198</v>
      </c>
      <c r="C4903">
        <v>12.322418701799579</v>
      </c>
      <c r="D4903">
        <v>10</v>
      </c>
      <c r="E4903">
        <v>1</v>
      </c>
      <c r="F4903">
        <v>120</v>
      </c>
      <c r="G4903">
        <v>214</v>
      </c>
      <c r="H4903">
        <v>1330</v>
      </c>
    </row>
    <row r="4904" spans="1:22" x14ac:dyDescent="0.25">
      <c r="A4904" t="s">
        <v>201</v>
      </c>
      <c r="B4904" t="s">
        <v>198</v>
      </c>
      <c r="C4904">
        <v>20.381006123882909</v>
      </c>
      <c r="D4904">
        <v>15</v>
      </c>
      <c r="E4904">
        <v>1</v>
      </c>
      <c r="F4904">
        <v>180</v>
      </c>
      <c r="G4904">
        <v>163</v>
      </c>
      <c r="H4904">
        <v>1330</v>
      </c>
    </row>
    <row r="4905" spans="1:22" x14ac:dyDescent="0.25">
      <c r="A4905" t="s">
        <v>202</v>
      </c>
      <c r="B4905" t="s">
        <v>198</v>
      </c>
      <c r="C4905">
        <v>13.33882565832252</v>
      </c>
      <c r="D4905">
        <v>5</v>
      </c>
      <c r="E4905">
        <v>1</v>
      </c>
      <c r="F4905">
        <v>156</v>
      </c>
      <c r="G4905">
        <v>35</v>
      </c>
      <c r="H4905">
        <v>1330</v>
      </c>
    </row>
    <row r="4906" spans="1:22" x14ac:dyDescent="0.25">
      <c r="A4906" t="s">
        <v>199</v>
      </c>
      <c r="B4906" t="s">
        <v>203</v>
      </c>
      <c r="C4906">
        <v>14.25334778468452</v>
      </c>
      <c r="D4906">
        <v>10</v>
      </c>
      <c r="E4906">
        <v>1</v>
      </c>
      <c r="F4906">
        <v>140</v>
      </c>
      <c r="G4906">
        <v>304</v>
      </c>
      <c r="H4906">
        <v>1330</v>
      </c>
    </row>
    <row r="4907" spans="1:22" x14ac:dyDescent="0.25">
      <c r="A4907" t="s">
        <v>200</v>
      </c>
      <c r="B4907" t="s">
        <v>203</v>
      </c>
      <c r="C4907">
        <v>9.1529617498963027</v>
      </c>
      <c r="D4907">
        <v>5</v>
      </c>
      <c r="E4907">
        <v>1</v>
      </c>
      <c r="F4907">
        <v>90</v>
      </c>
      <c r="G4907">
        <v>167</v>
      </c>
      <c r="H4907">
        <v>1330</v>
      </c>
    </row>
    <row r="4908" spans="1:22" x14ac:dyDescent="0.25">
      <c r="A4908" t="s">
        <v>201</v>
      </c>
      <c r="B4908" t="s">
        <v>203</v>
      </c>
      <c r="C4908">
        <v>21.70415313984762</v>
      </c>
      <c r="D4908">
        <v>20</v>
      </c>
      <c r="E4908">
        <v>1</v>
      </c>
      <c r="F4908">
        <v>150</v>
      </c>
      <c r="G4908">
        <v>151</v>
      </c>
      <c r="H4908">
        <v>1330</v>
      </c>
    </row>
    <row r="4909" spans="1:22" x14ac:dyDescent="0.25">
      <c r="A4909" t="s">
        <v>202</v>
      </c>
      <c r="B4909" t="s">
        <v>203</v>
      </c>
      <c r="C4909">
        <v>5.5114645179699888</v>
      </c>
      <c r="D4909">
        <v>5</v>
      </c>
      <c r="E4909">
        <v>1</v>
      </c>
      <c r="F4909">
        <v>20</v>
      </c>
      <c r="G4909">
        <v>27</v>
      </c>
      <c r="H4909">
        <v>1330</v>
      </c>
    </row>
    <row r="4910" spans="1:22" x14ac:dyDescent="0.25">
      <c r="A4910" t="s">
        <v>204</v>
      </c>
      <c r="B4910" t="s">
        <v>204</v>
      </c>
      <c r="C4910">
        <v>13.27772947891035</v>
      </c>
      <c r="D4910">
        <v>10</v>
      </c>
      <c r="E4910">
        <v>1</v>
      </c>
      <c r="F4910">
        <v>200</v>
      </c>
      <c r="G4910">
        <v>1330</v>
      </c>
      <c r="H4910">
        <v>1330</v>
      </c>
    </row>
    <row r="4912" spans="1:22" x14ac:dyDescent="0.25">
      <c r="A4912" t="s">
        <v>1040</v>
      </c>
    </row>
    <row r="4913" spans="1:10" x14ac:dyDescent="0.25">
      <c r="A4913" t="s">
        <v>189</v>
      </c>
      <c r="B4913" t="s">
        <v>190</v>
      </c>
      <c r="C4913" t="s">
        <v>206</v>
      </c>
      <c r="D4913" t="s">
        <v>529</v>
      </c>
      <c r="E4913" t="s">
        <v>191</v>
      </c>
      <c r="F4913" t="s">
        <v>192</v>
      </c>
      <c r="G4913" t="s">
        <v>193</v>
      </c>
      <c r="H4913" t="s">
        <v>194</v>
      </c>
      <c r="I4913" t="s">
        <v>195</v>
      </c>
      <c r="J4913" t="s">
        <v>196</v>
      </c>
    </row>
    <row r="4914" spans="1:10" s="29" customFormat="1" x14ac:dyDescent="0.25">
      <c r="A4914" s="29" t="s">
        <v>197</v>
      </c>
      <c r="B4914" s="29" t="s">
        <v>198</v>
      </c>
      <c r="C4914" s="29" t="s">
        <v>228</v>
      </c>
      <c r="D4914" s="29" t="s">
        <v>530</v>
      </c>
      <c r="E4914" s="29">
        <v>36.012627025730367</v>
      </c>
      <c r="F4914" s="29">
        <v>10</v>
      </c>
      <c r="G4914" s="29">
        <v>3</v>
      </c>
      <c r="H4914" s="29">
        <v>180</v>
      </c>
      <c r="I4914" s="29">
        <v>17</v>
      </c>
      <c r="J4914" s="29">
        <v>1330</v>
      </c>
    </row>
    <row r="4915" spans="1:10" s="29" customFormat="1" x14ac:dyDescent="0.25">
      <c r="A4915" s="29" t="s">
        <v>197</v>
      </c>
      <c r="B4915" s="29" t="s">
        <v>198</v>
      </c>
      <c r="C4915" s="29" t="s">
        <v>229</v>
      </c>
      <c r="D4915" s="29" t="s">
        <v>530</v>
      </c>
      <c r="E4915" s="29">
        <v>12.870058401403581</v>
      </c>
      <c r="F4915" s="29">
        <v>10</v>
      </c>
      <c r="G4915" s="29">
        <v>2</v>
      </c>
      <c r="H4915" s="29">
        <v>60</v>
      </c>
      <c r="I4915" s="29">
        <v>27</v>
      </c>
      <c r="J4915" s="29">
        <v>1330</v>
      </c>
    </row>
    <row r="4916" spans="1:10" x14ac:dyDescent="0.25">
      <c r="A4916" t="s">
        <v>199</v>
      </c>
      <c r="B4916" t="s">
        <v>198</v>
      </c>
      <c r="C4916" t="s">
        <v>228</v>
      </c>
      <c r="D4916" t="s">
        <v>530</v>
      </c>
      <c r="E4916">
        <v>16.46602497731185</v>
      </c>
      <c r="F4916">
        <v>10</v>
      </c>
      <c r="G4916">
        <v>1</v>
      </c>
      <c r="H4916">
        <v>180</v>
      </c>
      <c r="I4916">
        <v>89</v>
      </c>
      <c r="J4916">
        <v>1330</v>
      </c>
    </row>
    <row r="4917" spans="1:10" x14ac:dyDescent="0.25">
      <c r="A4917" t="s">
        <v>199</v>
      </c>
      <c r="B4917" t="s">
        <v>198</v>
      </c>
      <c r="C4917" t="s">
        <v>229</v>
      </c>
      <c r="D4917" t="s">
        <v>530</v>
      </c>
      <c r="E4917">
        <v>11.908957705302569</v>
      </c>
      <c r="F4917">
        <v>10</v>
      </c>
      <c r="G4917">
        <v>1</v>
      </c>
      <c r="H4917">
        <v>200</v>
      </c>
      <c r="I4917">
        <v>133</v>
      </c>
      <c r="J4917">
        <v>1330</v>
      </c>
    </row>
    <row r="4918" spans="1:10" x14ac:dyDescent="0.25">
      <c r="A4918" t="s">
        <v>200</v>
      </c>
      <c r="B4918" t="s">
        <v>198</v>
      </c>
      <c r="C4918" t="s">
        <v>228</v>
      </c>
      <c r="D4918" t="s">
        <v>530</v>
      </c>
      <c r="E4918">
        <v>14.522608039102289</v>
      </c>
      <c r="F4918">
        <v>8</v>
      </c>
      <c r="G4918">
        <v>1</v>
      </c>
      <c r="H4918">
        <v>120</v>
      </c>
      <c r="I4918">
        <v>62</v>
      </c>
      <c r="J4918">
        <v>1330</v>
      </c>
    </row>
    <row r="4919" spans="1:10" x14ac:dyDescent="0.25">
      <c r="A4919" t="s">
        <v>200</v>
      </c>
      <c r="B4919" t="s">
        <v>198</v>
      </c>
      <c r="C4919" t="s">
        <v>229</v>
      </c>
      <c r="D4919" t="s">
        <v>530</v>
      </c>
      <c r="E4919">
        <v>11.719618302359279</v>
      </c>
      <c r="F4919">
        <v>10</v>
      </c>
      <c r="G4919">
        <v>1</v>
      </c>
      <c r="H4919">
        <v>90</v>
      </c>
      <c r="I4919">
        <v>150</v>
      </c>
      <c r="J4919">
        <v>1330</v>
      </c>
    </row>
    <row r="4920" spans="1:10" x14ac:dyDescent="0.25">
      <c r="A4920" t="s">
        <v>201</v>
      </c>
      <c r="B4920" t="s">
        <v>198</v>
      </c>
      <c r="C4920" t="s">
        <v>228</v>
      </c>
      <c r="D4920" t="s">
        <v>530</v>
      </c>
      <c r="E4920">
        <v>20.397388920641941</v>
      </c>
      <c r="F4920">
        <v>15</v>
      </c>
      <c r="G4920">
        <v>1</v>
      </c>
      <c r="H4920">
        <v>120</v>
      </c>
      <c r="I4920">
        <v>56</v>
      </c>
      <c r="J4920">
        <v>1330</v>
      </c>
    </row>
    <row r="4921" spans="1:10" x14ac:dyDescent="0.25">
      <c r="A4921" t="s">
        <v>201</v>
      </c>
      <c r="B4921" t="s">
        <v>198</v>
      </c>
      <c r="C4921" t="s">
        <v>229</v>
      </c>
      <c r="D4921" t="s">
        <v>530</v>
      </c>
      <c r="E4921">
        <v>20.33313932801293</v>
      </c>
      <c r="F4921">
        <v>15</v>
      </c>
      <c r="G4921">
        <v>2</v>
      </c>
      <c r="H4921">
        <v>180</v>
      </c>
      <c r="I4921">
        <v>105</v>
      </c>
      <c r="J4921">
        <v>1330</v>
      </c>
    </row>
    <row r="4922" spans="1:10" s="29" customFormat="1" x14ac:dyDescent="0.25">
      <c r="A4922" s="29" t="s">
        <v>202</v>
      </c>
      <c r="B4922" s="29" t="s">
        <v>198</v>
      </c>
      <c r="C4922" s="29" t="s">
        <v>228</v>
      </c>
      <c r="D4922" s="29" t="s">
        <v>530</v>
      </c>
      <c r="E4922" s="29">
        <v>6.4907978003403377</v>
      </c>
      <c r="F4922" s="29">
        <v>5</v>
      </c>
      <c r="G4922" s="29">
        <v>1</v>
      </c>
      <c r="H4922" s="29">
        <v>30</v>
      </c>
      <c r="I4922" s="29">
        <v>10</v>
      </c>
      <c r="J4922" s="29">
        <v>1330</v>
      </c>
    </row>
    <row r="4923" spans="1:10" s="29" customFormat="1" x14ac:dyDescent="0.25">
      <c r="A4923" s="29" t="s">
        <v>202</v>
      </c>
      <c r="B4923" s="29" t="s">
        <v>198</v>
      </c>
      <c r="C4923" s="29" t="s">
        <v>229</v>
      </c>
      <c r="D4923" s="29" t="s">
        <v>530</v>
      </c>
      <c r="E4923" s="29">
        <v>15.69917832106024</v>
      </c>
      <c r="F4923" s="29">
        <v>8</v>
      </c>
      <c r="G4923" s="29">
        <v>1</v>
      </c>
      <c r="H4923" s="29">
        <v>156</v>
      </c>
      <c r="I4923" s="29">
        <v>25</v>
      </c>
      <c r="J4923" s="29">
        <v>1330</v>
      </c>
    </row>
    <row r="4924" spans="1:10" x14ac:dyDescent="0.25">
      <c r="A4924" t="s">
        <v>199</v>
      </c>
      <c r="B4924" t="s">
        <v>203</v>
      </c>
      <c r="C4924" t="s">
        <v>228</v>
      </c>
      <c r="D4924" t="s">
        <v>530</v>
      </c>
      <c r="E4924">
        <v>15.60449061795406</v>
      </c>
      <c r="F4924">
        <v>15</v>
      </c>
      <c r="G4924">
        <v>1</v>
      </c>
      <c r="H4924">
        <v>60</v>
      </c>
      <c r="I4924">
        <v>67</v>
      </c>
      <c r="J4924">
        <v>1330</v>
      </c>
    </row>
    <row r="4925" spans="1:10" x14ac:dyDescent="0.25">
      <c r="A4925" t="s">
        <v>199</v>
      </c>
      <c r="B4925" t="s">
        <v>203</v>
      </c>
      <c r="C4925" t="s">
        <v>229</v>
      </c>
      <c r="D4925" t="s">
        <v>530</v>
      </c>
      <c r="E4925">
        <v>14.107429730793321</v>
      </c>
      <c r="F4925">
        <v>10</v>
      </c>
      <c r="G4925">
        <v>1</v>
      </c>
      <c r="H4925">
        <v>140</v>
      </c>
      <c r="I4925">
        <v>233</v>
      </c>
      <c r="J4925">
        <v>1330</v>
      </c>
    </row>
    <row r="4926" spans="1:10" x14ac:dyDescent="0.25">
      <c r="A4926" t="s">
        <v>200</v>
      </c>
      <c r="B4926" t="s">
        <v>203</v>
      </c>
      <c r="C4926" t="s">
        <v>228</v>
      </c>
      <c r="D4926" t="s">
        <v>530</v>
      </c>
      <c r="E4926">
        <v>9.4829206785210847</v>
      </c>
      <c r="F4926">
        <v>10</v>
      </c>
      <c r="G4926">
        <v>1</v>
      </c>
      <c r="H4926">
        <v>30</v>
      </c>
      <c r="I4926">
        <v>54</v>
      </c>
      <c r="J4926">
        <v>1330</v>
      </c>
    </row>
    <row r="4927" spans="1:10" x14ac:dyDescent="0.25">
      <c r="A4927" t="s">
        <v>200</v>
      </c>
      <c r="B4927" t="s">
        <v>203</v>
      </c>
      <c r="C4927" t="s">
        <v>229</v>
      </c>
      <c r="D4927" t="s">
        <v>530</v>
      </c>
      <c r="E4927">
        <v>9.098301694120714</v>
      </c>
      <c r="F4927">
        <v>5</v>
      </c>
      <c r="G4927">
        <v>1</v>
      </c>
      <c r="H4927">
        <v>90</v>
      </c>
      <c r="I4927">
        <v>113</v>
      </c>
      <c r="J4927">
        <v>1330</v>
      </c>
    </row>
    <row r="4928" spans="1:10" x14ac:dyDescent="0.25">
      <c r="A4928" t="s">
        <v>201</v>
      </c>
      <c r="B4928" t="s">
        <v>203</v>
      </c>
      <c r="C4928" t="s">
        <v>228</v>
      </c>
      <c r="D4928" t="s">
        <v>530</v>
      </c>
      <c r="E4928">
        <v>21.12425714951139</v>
      </c>
      <c r="F4928">
        <v>15</v>
      </c>
      <c r="G4928">
        <v>1</v>
      </c>
      <c r="H4928">
        <v>150</v>
      </c>
      <c r="I4928">
        <v>75</v>
      </c>
      <c r="J4928">
        <v>1330</v>
      </c>
    </row>
    <row r="4929" spans="1:10" x14ac:dyDescent="0.25">
      <c r="A4929" t="s">
        <v>201</v>
      </c>
      <c r="B4929" t="s">
        <v>203</v>
      </c>
      <c r="C4929" t="s">
        <v>229</v>
      </c>
      <c r="D4929" t="s">
        <v>530</v>
      </c>
      <c r="E4929">
        <v>21.743573975982571</v>
      </c>
      <c r="F4929">
        <v>20</v>
      </c>
      <c r="G4929">
        <v>1</v>
      </c>
      <c r="H4929">
        <v>60</v>
      </c>
      <c r="I4929">
        <v>72</v>
      </c>
      <c r="J4929">
        <v>1330</v>
      </c>
    </row>
    <row r="4930" spans="1:10" s="29" customFormat="1" x14ac:dyDescent="0.25">
      <c r="A4930" s="29" t="s">
        <v>202</v>
      </c>
      <c r="B4930" s="29" t="s">
        <v>203</v>
      </c>
      <c r="C4930" s="29" t="s">
        <v>228</v>
      </c>
      <c r="D4930" s="29" t="s">
        <v>530</v>
      </c>
      <c r="E4930" s="29">
        <v>10.73975791250343</v>
      </c>
      <c r="F4930" s="29">
        <v>20</v>
      </c>
      <c r="G4930" s="29">
        <v>1</v>
      </c>
      <c r="H4930" s="29">
        <v>20</v>
      </c>
      <c r="I4930" s="29">
        <v>6</v>
      </c>
      <c r="J4930" s="29">
        <v>1330</v>
      </c>
    </row>
    <row r="4931" spans="1:10" s="29" customFormat="1" x14ac:dyDescent="0.25">
      <c r="A4931" s="29" t="s">
        <v>202</v>
      </c>
      <c r="B4931" s="29" t="s">
        <v>203</v>
      </c>
      <c r="C4931" s="29" t="s">
        <v>229</v>
      </c>
      <c r="D4931" s="29" t="s">
        <v>530</v>
      </c>
      <c r="E4931" s="29">
        <v>4.4480716047933546</v>
      </c>
      <c r="F4931" s="29">
        <v>5</v>
      </c>
      <c r="G4931" s="29">
        <v>1</v>
      </c>
      <c r="H4931" s="29">
        <v>15</v>
      </c>
      <c r="I4931" s="29">
        <v>21</v>
      </c>
      <c r="J4931" s="29">
        <v>1330</v>
      </c>
    </row>
    <row r="4932" spans="1:10" x14ac:dyDescent="0.25">
      <c r="A4932" t="s">
        <v>204</v>
      </c>
      <c r="B4932" t="s">
        <v>204</v>
      </c>
      <c r="C4932" t="s">
        <v>204</v>
      </c>
      <c r="D4932" t="s">
        <v>204</v>
      </c>
      <c r="E4932">
        <v>13.27772947891035</v>
      </c>
      <c r="F4932">
        <v>10</v>
      </c>
      <c r="G4932">
        <v>1</v>
      </c>
      <c r="H4932">
        <v>200</v>
      </c>
      <c r="I4932">
        <v>1330</v>
      </c>
      <c r="J4932">
        <v>1330</v>
      </c>
    </row>
    <row r="4934" spans="1:10" x14ac:dyDescent="0.25">
      <c r="A4934" t="s">
        <v>1041</v>
      </c>
    </row>
    <row r="4935" spans="1:10" x14ac:dyDescent="0.25">
      <c r="A4935" t="s">
        <v>189</v>
      </c>
      <c r="B4935" t="s">
        <v>190</v>
      </c>
      <c r="C4935" t="s">
        <v>206</v>
      </c>
      <c r="D4935" t="s">
        <v>529</v>
      </c>
      <c r="E4935" t="s">
        <v>191</v>
      </c>
      <c r="F4935" t="s">
        <v>192</v>
      </c>
      <c r="G4935" t="s">
        <v>193</v>
      </c>
      <c r="H4935" t="s">
        <v>194</v>
      </c>
      <c r="I4935" t="s">
        <v>195</v>
      </c>
      <c r="J4935" t="s">
        <v>196</v>
      </c>
    </row>
    <row r="4936" spans="1:10" x14ac:dyDescent="0.25">
      <c r="A4936" t="s">
        <v>197</v>
      </c>
      <c r="B4936" t="s">
        <v>198</v>
      </c>
      <c r="C4936" t="s">
        <v>348</v>
      </c>
      <c r="D4936" t="s">
        <v>532</v>
      </c>
      <c r="E4936">
        <v>22.916790566310169</v>
      </c>
      <c r="F4936">
        <v>10</v>
      </c>
      <c r="G4936">
        <v>2</v>
      </c>
      <c r="H4936">
        <v>180</v>
      </c>
      <c r="I4936">
        <v>42</v>
      </c>
      <c r="J4936">
        <v>1330</v>
      </c>
    </row>
    <row r="4937" spans="1:10" s="29" customFormat="1" x14ac:dyDescent="0.25">
      <c r="A4937" s="29" t="s">
        <v>197</v>
      </c>
      <c r="B4937" s="29" t="s">
        <v>198</v>
      </c>
      <c r="C4937" s="29" t="s">
        <v>349</v>
      </c>
      <c r="D4937" s="29" t="s">
        <v>532</v>
      </c>
      <c r="E4937" s="29">
        <v>22.5</v>
      </c>
      <c r="F4937" s="29">
        <v>5</v>
      </c>
      <c r="G4937" s="29">
        <v>5</v>
      </c>
      <c r="H4937" s="29">
        <v>40</v>
      </c>
      <c r="I4937" s="29">
        <v>2</v>
      </c>
      <c r="J4937" s="29">
        <v>1330</v>
      </c>
    </row>
    <row r="4938" spans="1:10" x14ac:dyDescent="0.25">
      <c r="A4938" t="s">
        <v>199</v>
      </c>
      <c r="B4938" t="s">
        <v>198</v>
      </c>
      <c r="C4938" t="s">
        <v>348</v>
      </c>
      <c r="D4938" t="s">
        <v>532</v>
      </c>
      <c r="E4938">
        <v>15.86145804795542</v>
      </c>
      <c r="F4938">
        <v>10</v>
      </c>
      <c r="G4938">
        <v>1</v>
      </c>
      <c r="H4938">
        <v>180</v>
      </c>
      <c r="I4938">
        <v>31</v>
      </c>
      <c r="J4938">
        <v>1330</v>
      </c>
    </row>
    <row r="4939" spans="1:10" x14ac:dyDescent="0.25">
      <c r="A4939" t="s">
        <v>199</v>
      </c>
      <c r="B4939" t="s">
        <v>198</v>
      </c>
      <c r="C4939" t="s">
        <v>349</v>
      </c>
      <c r="D4939" t="s">
        <v>532</v>
      </c>
      <c r="E4939">
        <v>10.94832697498757</v>
      </c>
      <c r="F4939">
        <v>10</v>
      </c>
      <c r="G4939">
        <v>1</v>
      </c>
      <c r="H4939">
        <v>60</v>
      </c>
      <c r="I4939">
        <v>72</v>
      </c>
      <c r="J4939">
        <v>1330</v>
      </c>
    </row>
    <row r="4940" spans="1:10" x14ac:dyDescent="0.25">
      <c r="A4940" t="s">
        <v>199</v>
      </c>
      <c r="B4940" t="s">
        <v>198</v>
      </c>
      <c r="C4940" t="s">
        <v>350</v>
      </c>
      <c r="D4940" t="s">
        <v>532</v>
      </c>
      <c r="E4940">
        <v>14.19646443534335</v>
      </c>
      <c r="F4940">
        <v>10</v>
      </c>
      <c r="G4940">
        <v>1</v>
      </c>
      <c r="H4940">
        <v>200</v>
      </c>
      <c r="I4940">
        <v>119</v>
      </c>
      <c r="J4940">
        <v>1330</v>
      </c>
    </row>
    <row r="4941" spans="1:10" x14ac:dyDescent="0.25">
      <c r="A4941" t="s">
        <v>200</v>
      </c>
      <c r="B4941" t="s">
        <v>198</v>
      </c>
      <c r="C4941" t="s">
        <v>348</v>
      </c>
      <c r="D4941" t="s">
        <v>532</v>
      </c>
      <c r="E4941">
        <v>12.261370046227849</v>
      </c>
      <c r="F4941">
        <v>10</v>
      </c>
      <c r="G4941">
        <v>1</v>
      </c>
      <c r="H4941">
        <v>90</v>
      </c>
      <c r="I4941">
        <v>163</v>
      </c>
      <c r="J4941">
        <v>1330</v>
      </c>
    </row>
    <row r="4942" spans="1:10" s="29" customFormat="1" x14ac:dyDescent="0.25">
      <c r="A4942" s="29" t="s">
        <v>200</v>
      </c>
      <c r="B4942" s="29" t="s">
        <v>198</v>
      </c>
      <c r="C4942" s="29" t="s">
        <v>349</v>
      </c>
      <c r="D4942" s="29" t="s">
        <v>532</v>
      </c>
      <c r="E4942" s="29">
        <v>13.34420484625795</v>
      </c>
      <c r="F4942" s="29">
        <v>5</v>
      </c>
      <c r="G4942" s="29">
        <v>2</v>
      </c>
      <c r="H4942" s="29">
        <v>120</v>
      </c>
      <c r="I4942" s="29">
        <v>22</v>
      </c>
      <c r="J4942" s="29">
        <v>1330</v>
      </c>
    </row>
    <row r="4943" spans="1:10" s="29" customFormat="1" x14ac:dyDescent="0.25">
      <c r="A4943" s="29" t="s">
        <v>200</v>
      </c>
      <c r="B4943" s="29" t="s">
        <v>198</v>
      </c>
      <c r="C4943" s="29" t="s">
        <v>350</v>
      </c>
      <c r="D4943" s="29" t="s">
        <v>532</v>
      </c>
      <c r="E4943" s="29">
        <v>12.01852473085216</v>
      </c>
      <c r="F4943" s="29">
        <v>10</v>
      </c>
      <c r="G4943" s="29">
        <v>1</v>
      </c>
      <c r="H4943" s="29">
        <v>40</v>
      </c>
      <c r="I4943" s="29">
        <v>27</v>
      </c>
      <c r="J4943" s="29">
        <v>1330</v>
      </c>
    </row>
    <row r="4944" spans="1:10" x14ac:dyDescent="0.25">
      <c r="A4944" t="s">
        <v>201</v>
      </c>
      <c r="B4944" t="s">
        <v>198</v>
      </c>
      <c r="C4944" t="s">
        <v>348</v>
      </c>
      <c r="D4944" t="s">
        <v>532</v>
      </c>
      <c r="E4944">
        <v>20.135387120228881</v>
      </c>
      <c r="F4944">
        <v>15</v>
      </c>
      <c r="G4944">
        <v>1</v>
      </c>
      <c r="H4944">
        <v>60</v>
      </c>
      <c r="I4944">
        <v>35</v>
      </c>
      <c r="J4944">
        <v>1330</v>
      </c>
    </row>
    <row r="4945" spans="1:10" x14ac:dyDescent="0.25">
      <c r="A4945" t="s">
        <v>201</v>
      </c>
      <c r="B4945" t="s">
        <v>198</v>
      </c>
      <c r="C4945" t="s">
        <v>349</v>
      </c>
      <c r="D4945" t="s">
        <v>532</v>
      </c>
      <c r="E4945">
        <v>20.18435252506373</v>
      </c>
      <c r="F4945">
        <v>15</v>
      </c>
      <c r="G4945">
        <v>1</v>
      </c>
      <c r="H4945">
        <v>120</v>
      </c>
      <c r="I4945">
        <v>82</v>
      </c>
      <c r="J4945">
        <v>1330</v>
      </c>
    </row>
    <row r="4946" spans="1:10" x14ac:dyDescent="0.25">
      <c r="A4946" t="s">
        <v>201</v>
      </c>
      <c r="B4946" t="s">
        <v>198</v>
      </c>
      <c r="C4946" t="s">
        <v>350</v>
      </c>
      <c r="D4946" t="s">
        <v>532</v>
      </c>
      <c r="E4946">
        <v>23.568009078095582</v>
      </c>
      <c r="F4946">
        <v>15</v>
      </c>
      <c r="G4946">
        <v>3</v>
      </c>
      <c r="H4946">
        <v>180</v>
      </c>
      <c r="I4946">
        <v>44</v>
      </c>
      <c r="J4946">
        <v>1330</v>
      </c>
    </row>
    <row r="4947" spans="1:10" x14ac:dyDescent="0.25">
      <c r="A4947" t="s">
        <v>202</v>
      </c>
      <c r="B4947" t="s">
        <v>198</v>
      </c>
      <c r="C4947" t="s">
        <v>348</v>
      </c>
      <c r="D4947" t="s">
        <v>532</v>
      </c>
      <c r="E4947">
        <v>13.33882565832252</v>
      </c>
      <c r="F4947">
        <v>5</v>
      </c>
      <c r="G4947">
        <v>1</v>
      </c>
      <c r="H4947">
        <v>156</v>
      </c>
      <c r="I4947">
        <v>35</v>
      </c>
      <c r="J4947">
        <v>1330</v>
      </c>
    </row>
    <row r="4948" spans="1:10" s="29" customFormat="1" x14ac:dyDescent="0.25">
      <c r="A4948" s="29" t="s">
        <v>199</v>
      </c>
      <c r="B4948" s="29" t="s">
        <v>203</v>
      </c>
      <c r="C4948" s="29" t="s">
        <v>348</v>
      </c>
      <c r="D4948" s="29" t="s">
        <v>532</v>
      </c>
      <c r="E4948" s="29">
        <v>8.4444743951717633</v>
      </c>
      <c r="F4948" s="29">
        <v>5</v>
      </c>
      <c r="G4948" s="29">
        <v>2</v>
      </c>
      <c r="H4948" s="29">
        <v>60</v>
      </c>
      <c r="I4948" s="29">
        <v>23</v>
      </c>
      <c r="J4948" s="29">
        <v>1330</v>
      </c>
    </row>
    <row r="4949" spans="1:10" x14ac:dyDescent="0.25">
      <c r="A4949" t="s">
        <v>199</v>
      </c>
      <c r="B4949" t="s">
        <v>203</v>
      </c>
      <c r="C4949" t="s">
        <v>349</v>
      </c>
      <c r="D4949" t="s">
        <v>532</v>
      </c>
      <c r="E4949">
        <v>12.79186244004261</v>
      </c>
      <c r="F4949">
        <v>10</v>
      </c>
      <c r="G4949">
        <v>1</v>
      </c>
      <c r="H4949">
        <v>90</v>
      </c>
      <c r="I4949">
        <v>93</v>
      </c>
      <c r="J4949">
        <v>1330</v>
      </c>
    </row>
    <row r="4950" spans="1:10" x14ac:dyDescent="0.25">
      <c r="A4950" t="s">
        <v>199</v>
      </c>
      <c r="B4950" t="s">
        <v>203</v>
      </c>
      <c r="C4950" t="s">
        <v>350</v>
      </c>
      <c r="D4950" t="s">
        <v>532</v>
      </c>
      <c r="E4950">
        <v>15.419131695406239</v>
      </c>
      <c r="F4950">
        <v>10</v>
      </c>
      <c r="G4950">
        <v>1</v>
      </c>
      <c r="H4950">
        <v>140</v>
      </c>
      <c r="I4950">
        <v>184</v>
      </c>
      <c r="J4950">
        <v>1330</v>
      </c>
    </row>
    <row r="4951" spans="1:10" x14ac:dyDescent="0.25">
      <c r="A4951" t="s">
        <v>200</v>
      </c>
      <c r="B4951" t="s">
        <v>203</v>
      </c>
      <c r="C4951" t="s">
        <v>348</v>
      </c>
      <c r="D4951" t="s">
        <v>532</v>
      </c>
      <c r="E4951">
        <v>8.6252863442318972</v>
      </c>
      <c r="F4951">
        <v>5</v>
      </c>
      <c r="G4951">
        <v>1</v>
      </c>
      <c r="H4951">
        <v>60</v>
      </c>
      <c r="I4951">
        <v>131</v>
      </c>
      <c r="J4951">
        <v>1330</v>
      </c>
    </row>
    <row r="4952" spans="1:10" s="29" customFormat="1" x14ac:dyDescent="0.25">
      <c r="A4952" s="29" t="s">
        <v>200</v>
      </c>
      <c r="B4952" s="29" t="s">
        <v>203</v>
      </c>
      <c r="C4952" s="29" t="s">
        <v>349</v>
      </c>
      <c r="D4952" s="29" t="s">
        <v>532</v>
      </c>
      <c r="E4952" s="29">
        <v>24.794805140476541</v>
      </c>
      <c r="F4952" s="29">
        <v>20</v>
      </c>
      <c r="G4952" s="29">
        <v>3</v>
      </c>
      <c r="H4952" s="29">
        <v>90</v>
      </c>
      <c r="I4952" s="29">
        <v>16</v>
      </c>
      <c r="J4952" s="29">
        <v>1330</v>
      </c>
    </row>
    <row r="4953" spans="1:10" s="29" customFormat="1" x14ac:dyDescent="0.25">
      <c r="A4953" s="29" t="s">
        <v>200</v>
      </c>
      <c r="B4953" s="29" t="s">
        <v>203</v>
      </c>
      <c r="C4953" s="29" t="s">
        <v>350</v>
      </c>
      <c r="D4953" s="29" t="s">
        <v>532</v>
      </c>
      <c r="E4953" s="29">
        <v>14.9981716664186</v>
      </c>
      <c r="F4953" s="29">
        <v>15</v>
      </c>
      <c r="G4953" s="29">
        <v>2</v>
      </c>
      <c r="H4953" s="29">
        <v>40</v>
      </c>
      <c r="I4953" s="29">
        <v>20</v>
      </c>
      <c r="J4953" s="29">
        <v>1330</v>
      </c>
    </row>
    <row r="4954" spans="1:10" s="29" customFormat="1" x14ac:dyDescent="0.25">
      <c r="A4954" s="29" t="s">
        <v>201</v>
      </c>
      <c r="B4954" s="29" t="s">
        <v>203</v>
      </c>
      <c r="C4954" s="29" t="s">
        <v>348</v>
      </c>
      <c r="D4954" s="29" t="s">
        <v>532</v>
      </c>
      <c r="E4954" s="29">
        <v>11.655683164349149</v>
      </c>
      <c r="F4954" s="29">
        <v>10</v>
      </c>
      <c r="G4954" s="29">
        <v>3</v>
      </c>
      <c r="H4954" s="29">
        <v>40</v>
      </c>
      <c r="I4954" s="29">
        <v>13</v>
      </c>
      <c r="J4954" s="29">
        <v>1330</v>
      </c>
    </row>
    <row r="4955" spans="1:10" x14ac:dyDescent="0.25">
      <c r="A4955" t="s">
        <v>201</v>
      </c>
      <c r="B4955" t="s">
        <v>203</v>
      </c>
      <c r="C4955" t="s">
        <v>349</v>
      </c>
      <c r="D4955" t="s">
        <v>532</v>
      </c>
      <c r="E4955">
        <v>22.585368917911271</v>
      </c>
      <c r="F4955">
        <v>20</v>
      </c>
      <c r="G4955">
        <v>1</v>
      </c>
      <c r="H4955">
        <v>150</v>
      </c>
      <c r="I4955">
        <v>89</v>
      </c>
      <c r="J4955">
        <v>1330</v>
      </c>
    </row>
    <row r="4956" spans="1:10" x14ac:dyDescent="0.25">
      <c r="A4956" t="s">
        <v>201</v>
      </c>
      <c r="B4956" t="s">
        <v>203</v>
      </c>
      <c r="C4956" t="s">
        <v>350</v>
      </c>
      <c r="D4956" t="s">
        <v>532</v>
      </c>
      <c r="E4956">
        <v>17.324571524520429</v>
      </c>
      <c r="F4956">
        <v>15</v>
      </c>
      <c r="G4956">
        <v>1</v>
      </c>
      <c r="H4956">
        <v>100</v>
      </c>
      <c r="I4956">
        <v>45</v>
      </c>
      <c r="J4956">
        <v>1330</v>
      </c>
    </row>
    <row r="4957" spans="1:10" s="29" customFormat="1" x14ac:dyDescent="0.25">
      <c r="A4957" s="29" t="s">
        <v>202</v>
      </c>
      <c r="B4957" s="29" t="s">
        <v>203</v>
      </c>
      <c r="C4957" s="29" t="s">
        <v>348</v>
      </c>
      <c r="D4957" s="29" t="s">
        <v>532</v>
      </c>
      <c r="E4957" s="29">
        <v>5.5114645179699888</v>
      </c>
      <c r="F4957" s="29">
        <v>5</v>
      </c>
      <c r="G4957" s="29">
        <v>1</v>
      </c>
      <c r="H4957" s="29">
        <v>20</v>
      </c>
      <c r="I4957" s="29">
        <v>27</v>
      </c>
      <c r="J4957" s="29">
        <v>1330</v>
      </c>
    </row>
    <row r="4958" spans="1:10" x14ac:dyDescent="0.25">
      <c r="A4958" t="s">
        <v>204</v>
      </c>
      <c r="B4958" t="s">
        <v>204</v>
      </c>
      <c r="C4958" t="s">
        <v>204</v>
      </c>
      <c r="D4958" t="s">
        <v>204</v>
      </c>
      <c r="E4958">
        <v>13.27772947891035</v>
      </c>
      <c r="F4958">
        <v>10</v>
      </c>
      <c r="G4958">
        <v>1</v>
      </c>
      <c r="H4958">
        <v>200</v>
      </c>
      <c r="I4958">
        <v>1330</v>
      </c>
      <c r="J4958">
        <v>1330</v>
      </c>
    </row>
    <row r="4960" spans="1:10" x14ac:dyDescent="0.25">
      <c r="A4960" t="s">
        <v>1042</v>
      </c>
    </row>
    <row r="4961" spans="1:12" x14ac:dyDescent="0.25">
      <c r="A4961" t="s">
        <v>190</v>
      </c>
      <c r="B4961" t="s">
        <v>195</v>
      </c>
      <c r="C4961" t="s">
        <v>189</v>
      </c>
      <c r="D4961" t="s">
        <v>196</v>
      </c>
      <c r="E4961" t="s">
        <v>1043</v>
      </c>
      <c r="F4961" t="s">
        <v>220</v>
      </c>
      <c r="G4961" t="s">
        <v>1044</v>
      </c>
      <c r="H4961" t="s">
        <v>1045</v>
      </c>
      <c r="I4961" t="s">
        <v>215</v>
      </c>
      <c r="J4961" t="s">
        <v>1046</v>
      </c>
      <c r="K4961" t="s">
        <v>1047</v>
      </c>
    </row>
    <row r="4962" spans="1:12" x14ac:dyDescent="0.25">
      <c r="A4962" t="s">
        <v>198</v>
      </c>
      <c r="B4962">
        <v>82</v>
      </c>
      <c r="C4962" t="s">
        <v>197</v>
      </c>
      <c r="D4962">
        <v>2633</v>
      </c>
      <c r="E4962" s="1">
        <v>9.3899999999999997E-2</v>
      </c>
      <c r="F4962" s="1">
        <v>7.4999999999999997E-3</v>
      </c>
      <c r="G4962" s="1">
        <v>0.49370000000000003</v>
      </c>
      <c r="H4962" s="1">
        <v>0.31269999999999998</v>
      </c>
      <c r="J4962" s="1">
        <v>7.4999999999999997E-3</v>
      </c>
      <c r="K4962" s="1">
        <v>8.4699999999999998E-2</v>
      </c>
    </row>
    <row r="4963" spans="1:12" x14ac:dyDescent="0.25">
      <c r="A4963" t="s">
        <v>198</v>
      </c>
      <c r="B4963">
        <v>368</v>
      </c>
      <c r="C4963" t="s">
        <v>199</v>
      </c>
      <c r="D4963">
        <v>2633</v>
      </c>
      <c r="E4963" s="1">
        <v>2.92E-2</v>
      </c>
      <c r="F4963" s="1">
        <v>3.2000000000000002E-3</v>
      </c>
      <c r="G4963" s="1">
        <v>0.60729999999999995</v>
      </c>
      <c r="H4963" s="1">
        <v>0.2147</v>
      </c>
      <c r="J4963" s="1">
        <v>1.5E-3</v>
      </c>
      <c r="K4963" s="1">
        <v>0.14419999999999999</v>
      </c>
    </row>
    <row r="4964" spans="1:12" x14ac:dyDescent="0.25">
      <c r="A4964" t="s">
        <v>198</v>
      </c>
      <c r="B4964">
        <v>387</v>
      </c>
      <c r="C4964" t="s">
        <v>200</v>
      </c>
      <c r="D4964">
        <v>2633</v>
      </c>
      <c r="E4964" s="1">
        <v>2.8899999999999999E-2</v>
      </c>
      <c r="F4964" s="1">
        <v>8.6E-3</v>
      </c>
      <c r="G4964" s="1">
        <v>0.63590000000000002</v>
      </c>
      <c r="H4964" s="1">
        <v>0.18260000000000001</v>
      </c>
      <c r="J4964" s="1">
        <v>1.6899999999999998E-2</v>
      </c>
      <c r="K4964" s="1">
        <v>0.12709999999999999</v>
      </c>
    </row>
    <row r="4965" spans="1:12" x14ac:dyDescent="0.25">
      <c r="A4965" t="s">
        <v>198</v>
      </c>
      <c r="B4965">
        <v>256</v>
      </c>
      <c r="C4965" t="s">
        <v>201</v>
      </c>
      <c r="D4965">
        <v>2633</v>
      </c>
      <c r="E4965" s="1">
        <v>3.5700000000000003E-2</v>
      </c>
      <c r="F4965" s="1">
        <v>1.34E-2</v>
      </c>
      <c r="G4965" s="1">
        <v>0.6381</v>
      </c>
      <c r="H4965" s="1">
        <v>0.21679999999999999</v>
      </c>
      <c r="J4965" s="1">
        <v>2.0899999999999998E-2</v>
      </c>
      <c r="K4965" s="1">
        <v>7.51E-2</v>
      </c>
    </row>
    <row r="4966" spans="1:12" x14ac:dyDescent="0.25">
      <c r="A4966" t="s">
        <v>198</v>
      </c>
      <c r="B4966">
        <v>96</v>
      </c>
      <c r="C4966" t="s">
        <v>202</v>
      </c>
      <c r="D4966">
        <v>2633</v>
      </c>
      <c r="E4966" s="1">
        <v>3.9300000000000002E-2</v>
      </c>
      <c r="G4966" s="1">
        <v>0.6099</v>
      </c>
      <c r="H4966" s="1">
        <v>0.2167</v>
      </c>
      <c r="K4966" s="1">
        <v>0.13400000000000001</v>
      </c>
    </row>
    <row r="4967" spans="1:12" x14ac:dyDescent="0.25">
      <c r="A4967" t="s">
        <v>203</v>
      </c>
      <c r="B4967">
        <v>530</v>
      </c>
      <c r="C4967" t="s">
        <v>199</v>
      </c>
      <c r="D4967">
        <v>2633</v>
      </c>
      <c r="E4967" s="1">
        <v>4.6199999999999998E-2</v>
      </c>
      <c r="F4967" s="1">
        <v>1.18E-2</v>
      </c>
      <c r="G4967" s="1">
        <v>0.59699999999999998</v>
      </c>
      <c r="H4967" s="1">
        <v>0.2064</v>
      </c>
      <c r="I4967" s="1">
        <v>5.9999999999999995E-4</v>
      </c>
      <c r="J4967" s="1">
        <v>1.0500000000000001E-2</v>
      </c>
      <c r="K4967" s="1">
        <v>0.1275</v>
      </c>
    </row>
    <row r="4968" spans="1:12" x14ac:dyDescent="0.25">
      <c r="A4968" t="s">
        <v>203</v>
      </c>
      <c r="B4968">
        <v>503</v>
      </c>
      <c r="C4968" t="s">
        <v>200</v>
      </c>
      <c r="D4968">
        <v>2633</v>
      </c>
      <c r="E4968" s="1">
        <v>5.5800000000000002E-2</v>
      </c>
      <c r="G4968" s="1">
        <v>0.52769999999999995</v>
      </c>
      <c r="H4968" s="1">
        <v>0.18129999999999999</v>
      </c>
      <c r="J4968" s="1">
        <v>8.9999999999999993E-3</v>
      </c>
      <c r="K4968" s="1">
        <v>0.2263</v>
      </c>
    </row>
    <row r="4969" spans="1:12" x14ac:dyDescent="0.25">
      <c r="A4969" t="s">
        <v>203</v>
      </c>
      <c r="B4969">
        <v>321</v>
      </c>
      <c r="C4969" t="s">
        <v>201</v>
      </c>
      <c r="D4969">
        <v>2633</v>
      </c>
      <c r="E4969" s="1">
        <v>3.61E-2</v>
      </c>
      <c r="F4969" s="1">
        <v>2.7000000000000001E-3</v>
      </c>
      <c r="G4969" s="1">
        <v>0.62209999999999999</v>
      </c>
      <c r="H4969" s="1">
        <v>0.2069</v>
      </c>
      <c r="J4969" s="1">
        <v>4.1000000000000003E-3</v>
      </c>
      <c r="K4969" s="1">
        <v>0.12809999999999999</v>
      </c>
    </row>
    <row r="4970" spans="1:12" x14ac:dyDescent="0.25">
      <c r="A4970" t="s">
        <v>203</v>
      </c>
      <c r="B4970">
        <v>90</v>
      </c>
      <c r="C4970" t="s">
        <v>202</v>
      </c>
      <c r="D4970">
        <v>2633</v>
      </c>
      <c r="E4970" s="1">
        <v>2.81E-2</v>
      </c>
      <c r="G4970" s="1">
        <v>0.56759999999999999</v>
      </c>
      <c r="H4970" s="1">
        <v>0.19500000000000001</v>
      </c>
      <c r="J4970" s="1">
        <v>1.8499999999999999E-2</v>
      </c>
      <c r="K4970" s="1">
        <v>0.19089999999999999</v>
      </c>
    </row>
    <row r="4971" spans="1:12" x14ac:dyDescent="0.25">
      <c r="A4971" t="s">
        <v>204</v>
      </c>
      <c r="B4971">
        <v>2633</v>
      </c>
      <c r="C4971" t="s">
        <v>204</v>
      </c>
      <c r="D4971">
        <v>2633</v>
      </c>
      <c r="E4971" s="1">
        <v>4.53E-2</v>
      </c>
      <c r="F4971" s="1">
        <v>4.3E-3</v>
      </c>
      <c r="G4971" s="1">
        <v>0.57820000000000005</v>
      </c>
      <c r="H4971" s="1">
        <v>0.2046</v>
      </c>
      <c r="I4971" s="1">
        <v>1E-4</v>
      </c>
      <c r="J4971" s="1">
        <v>9.1000000000000004E-3</v>
      </c>
      <c r="K4971" s="1">
        <v>0.1585</v>
      </c>
    </row>
    <row r="4973" spans="1:12" x14ac:dyDescent="0.25">
      <c r="A4973" t="s">
        <v>1048</v>
      </c>
    </row>
    <row r="4974" spans="1:12" x14ac:dyDescent="0.25">
      <c r="A4974" t="s">
        <v>190</v>
      </c>
      <c r="B4974" t="s">
        <v>206</v>
      </c>
      <c r="C4974" t="s">
        <v>195</v>
      </c>
      <c r="D4974" t="s">
        <v>189</v>
      </c>
      <c r="E4974" t="s">
        <v>196</v>
      </c>
      <c r="F4974" t="s">
        <v>1043</v>
      </c>
      <c r="G4974" t="s">
        <v>220</v>
      </c>
      <c r="H4974" t="s">
        <v>1044</v>
      </c>
      <c r="I4974" t="s">
        <v>1045</v>
      </c>
      <c r="J4974" t="s">
        <v>215</v>
      </c>
      <c r="K4974" t="s">
        <v>1046</v>
      </c>
      <c r="L4974" t="s">
        <v>1047</v>
      </c>
    </row>
    <row r="4975" spans="1:12" x14ac:dyDescent="0.25">
      <c r="A4975" t="s">
        <v>198</v>
      </c>
      <c r="B4975" t="s">
        <v>228</v>
      </c>
      <c r="C4975">
        <v>33</v>
      </c>
      <c r="D4975" t="s">
        <v>197</v>
      </c>
      <c r="E4975">
        <v>2633</v>
      </c>
      <c r="F4975" s="1">
        <v>7.3700000000000002E-2</v>
      </c>
      <c r="H4975" s="1">
        <v>0.51910000000000001</v>
      </c>
      <c r="I4975" s="1">
        <v>0.31319999999999998</v>
      </c>
      <c r="K4975" s="1">
        <v>1.7299999999999999E-2</v>
      </c>
      <c r="L4975" s="1">
        <v>7.6700000000000004E-2</v>
      </c>
    </row>
    <row r="4976" spans="1:12" x14ac:dyDescent="0.25">
      <c r="A4976" t="s">
        <v>198</v>
      </c>
      <c r="B4976" t="s">
        <v>229</v>
      </c>
      <c r="C4976">
        <v>49</v>
      </c>
      <c r="D4976" t="s">
        <v>197</v>
      </c>
      <c r="E4976">
        <v>2633</v>
      </c>
      <c r="F4976" s="1">
        <v>0.10920000000000001</v>
      </c>
      <c r="G4976" s="1">
        <v>1.32E-2</v>
      </c>
      <c r="H4976" s="1">
        <v>0.47449999999999998</v>
      </c>
      <c r="I4976" s="1">
        <v>0.31219999999999998</v>
      </c>
      <c r="L4976" s="1">
        <v>9.0899999999999995E-2</v>
      </c>
    </row>
    <row r="4977" spans="1:12" x14ac:dyDescent="0.25">
      <c r="A4977" t="s">
        <v>198</v>
      </c>
      <c r="B4977" t="s">
        <v>228</v>
      </c>
      <c r="C4977">
        <v>145</v>
      </c>
      <c r="D4977" t="s">
        <v>199</v>
      </c>
      <c r="E4977">
        <v>2633</v>
      </c>
      <c r="F4977" s="1">
        <v>4.2299999999999997E-2</v>
      </c>
      <c r="G4977" s="1">
        <v>4.7000000000000002E-3</v>
      </c>
      <c r="H4977" s="1">
        <v>0.56310000000000004</v>
      </c>
      <c r="I4977" s="1">
        <v>0.2722</v>
      </c>
      <c r="K4977" s="1">
        <v>1.1999999999999999E-3</v>
      </c>
      <c r="L4977" s="1">
        <v>0.1166</v>
      </c>
    </row>
    <row r="4978" spans="1:12" x14ac:dyDescent="0.25">
      <c r="A4978" t="s">
        <v>198</v>
      </c>
      <c r="B4978" t="s">
        <v>229</v>
      </c>
      <c r="C4978">
        <v>213</v>
      </c>
      <c r="D4978" t="s">
        <v>199</v>
      </c>
      <c r="E4978">
        <v>2633</v>
      </c>
      <c r="F4978" s="1">
        <v>2.4899999999999999E-2</v>
      </c>
      <c r="G4978" s="1">
        <v>2.7000000000000001E-3</v>
      </c>
      <c r="H4978" s="1">
        <v>0.62270000000000003</v>
      </c>
      <c r="I4978" s="1">
        <v>0.1968</v>
      </c>
      <c r="K4978" s="1">
        <v>1.6000000000000001E-3</v>
      </c>
      <c r="L4978" s="1">
        <v>0.1512</v>
      </c>
    </row>
    <row r="4979" spans="1:12" x14ac:dyDescent="0.25">
      <c r="A4979" t="s">
        <v>198</v>
      </c>
      <c r="B4979" t="s">
        <v>229</v>
      </c>
      <c r="C4979">
        <v>270</v>
      </c>
      <c r="D4979" t="s">
        <v>200</v>
      </c>
      <c r="E4979">
        <v>2633</v>
      </c>
      <c r="F4979" s="1">
        <v>2.7799999999999998E-2</v>
      </c>
      <c r="G4979" s="1">
        <v>6.1000000000000004E-3</v>
      </c>
      <c r="H4979" s="1">
        <v>0.65210000000000001</v>
      </c>
      <c r="I4979" s="1">
        <v>0.16639999999999999</v>
      </c>
      <c r="K4979" s="1">
        <v>8.3000000000000001E-3</v>
      </c>
      <c r="L4979" s="1">
        <v>0.13919999999999999</v>
      </c>
    </row>
    <row r="4980" spans="1:12" x14ac:dyDescent="0.25">
      <c r="A4980" t="s">
        <v>198</v>
      </c>
      <c r="B4980" t="s">
        <v>228</v>
      </c>
      <c r="C4980">
        <v>112</v>
      </c>
      <c r="D4980" t="s">
        <v>200</v>
      </c>
      <c r="E4980">
        <v>2633</v>
      </c>
      <c r="F4980" s="1">
        <v>3.3500000000000002E-2</v>
      </c>
      <c r="G4980" s="1">
        <v>1.7100000000000001E-2</v>
      </c>
      <c r="H4980" s="1">
        <v>0.57179999999999997</v>
      </c>
      <c r="I4980" s="1">
        <v>0.2414</v>
      </c>
      <c r="K4980" s="1">
        <v>4.5600000000000002E-2</v>
      </c>
      <c r="L4980" s="1">
        <v>9.06E-2</v>
      </c>
    </row>
    <row r="4981" spans="1:12" x14ac:dyDescent="0.25">
      <c r="A4981" t="s">
        <v>198</v>
      </c>
      <c r="B4981" t="s">
        <v>228</v>
      </c>
      <c r="C4981">
        <v>95</v>
      </c>
      <c r="D4981" t="s">
        <v>201</v>
      </c>
      <c r="E4981">
        <v>2633</v>
      </c>
      <c r="F4981" s="1">
        <v>2.86E-2</v>
      </c>
      <c r="G4981" s="1">
        <v>1.9300000000000001E-2</v>
      </c>
      <c r="H4981" s="1">
        <v>0.59440000000000004</v>
      </c>
      <c r="I4981" s="1">
        <v>0.30640000000000001</v>
      </c>
      <c r="L4981" s="1">
        <v>5.1400000000000001E-2</v>
      </c>
    </row>
    <row r="4982" spans="1:12" x14ac:dyDescent="0.25">
      <c r="A4982" t="s">
        <v>198</v>
      </c>
      <c r="B4982" t="s">
        <v>229</v>
      </c>
      <c r="C4982">
        <v>155</v>
      </c>
      <c r="D4982" t="s">
        <v>201</v>
      </c>
      <c r="E4982">
        <v>2633</v>
      </c>
      <c r="F4982" s="1">
        <v>3.8100000000000002E-2</v>
      </c>
      <c r="G4982" s="1">
        <v>1.2E-2</v>
      </c>
      <c r="H4982" s="1">
        <v>0.65180000000000005</v>
      </c>
      <c r="I4982" s="1">
        <v>0.18940000000000001</v>
      </c>
      <c r="K4982" s="1">
        <v>2.69E-2</v>
      </c>
      <c r="L4982" s="1">
        <v>8.1799999999999998E-2</v>
      </c>
    </row>
    <row r="4983" spans="1:12" s="29" customFormat="1" x14ac:dyDescent="0.25">
      <c r="A4983" s="29" t="s">
        <v>198</v>
      </c>
      <c r="B4983" s="29" t="s">
        <v>228</v>
      </c>
      <c r="C4983" s="29">
        <v>28</v>
      </c>
      <c r="D4983" s="29" t="s">
        <v>202</v>
      </c>
      <c r="E4983" s="29">
        <v>2633</v>
      </c>
      <c r="F4983" s="30">
        <v>4.0099999999999997E-2</v>
      </c>
      <c r="H4983" s="30">
        <v>0.48809999999999998</v>
      </c>
      <c r="I4983" s="30">
        <v>0.15809999999999999</v>
      </c>
      <c r="L4983" s="30">
        <v>0.31369999999999998</v>
      </c>
    </row>
    <row r="4984" spans="1:12" x14ac:dyDescent="0.25">
      <c r="A4984" t="s">
        <v>198</v>
      </c>
      <c r="B4984" t="s">
        <v>229</v>
      </c>
      <c r="C4984">
        <v>68</v>
      </c>
      <c r="D4984" t="s">
        <v>202</v>
      </c>
      <c r="E4984">
        <v>2633</v>
      </c>
      <c r="F4984" s="1">
        <v>3.9100000000000003E-2</v>
      </c>
      <c r="H4984" s="1">
        <v>0.64759999999999995</v>
      </c>
      <c r="I4984" s="1">
        <v>0.2349</v>
      </c>
      <c r="L4984" s="1">
        <v>7.8399999999999997E-2</v>
      </c>
    </row>
    <row r="4985" spans="1:12" x14ac:dyDescent="0.25">
      <c r="A4985" t="s">
        <v>203</v>
      </c>
      <c r="B4985" t="s">
        <v>229</v>
      </c>
      <c r="C4985">
        <v>370</v>
      </c>
      <c r="D4985" t="s">
        <v>199</v>
      </c>
      <c r="E4985">
        <v>2633</v>
      </c>
      <c r="F4985" s="1">
        <v>3.5499999999999997E-2</v>
      </c>
      <c r="G4985" s="1">
        <v>1.2E-2</v>
      </c>
      <c r="H4985" s="1">
        <v>0.60599999999999998</v>
      </c>
      <c r="I4985" s="1">
        <v>0.20699999999999999</v>
      </c>
      <c r="J4985" s="1">
        <v>5.9999999999999995E-4</v>
      </c>
      <c r="K4985" s="1">
        <v>1.01E-2</v>
      </c>
      <c r="L4985" s="1">
        <v>0.12870000000000001</v>
      </c>
    </row>
    <row r="4986" spans="1:12" x14ac:dyDescent="0.25">
      <c r="A4986" t="s">
        <v>203</v>
      </c>
      <c r="B4986" t="s">
        <v>228</v>
      </c>
      <c r="C4986">
        <v>150</v>
      </c>
      <c r="D4986" t="s">
        <v>199</v>
      </c>
      <c r="E4986">
        <v>2633</v>
      </c>
      <c r="F4986" s="1">
        <v>0.12859999999999999</v>
      </c>
      <c r="G4986" s="1">
        <v>4.7999999999999996E-3</v>
      </c>
      <c r="H4986" s="1">
        <v>0.53490000000000004</v>
      </c>
      <c r="I4986" s="1">
        <v>0.19489999999999999</v>
      </c>
      <c r="K4986" s="1">
        <v>1.46E-2</v>
      </c>
      <c r="L4986" s="1">
        <v>0.1222</v>
      </c>
    </row>
    <row r="4987" spans="1:12" x14ac:dyDescent="0.25">
      <c r="A4987" t="s">
        <v>203</v>
      </c>
      <c r="B4987" t="s">
        <v>229</v>
      </c>
      <c r="C4987">
        <v>347</v>
      </c>
      <c r="D4987" t="s">
        <v>200</v>
      </c>
      <c r="E4987">
        <v>2633</v>
      </c>
      <c r="F4987" s="1">
        <v>5.96E-2</v>
      </c>
      <c r="H4987" s="1">
        <v>0.53890000000000005</v>
      </c>
      <c r="I4987" s="1">
        <v>0.185</v>
      </c>
      <c r="K4987" s="1">
        <v>4.1999999999999997E-3</v>
      </c>
      <c r="L4987" s="1">
        <v>0.21229999999999999</v>
      </c>
    </row>
    <row r="4988" spans="1:12" x14ac:dyDescent="0.25">
      <c r="A4988" t="s">
        <v>203</v>
      </c>
      <c r="B4988" t="s">
        <v>228</v>
      </c>
      <c r="C4988">
        <v>155</v>
      </c>
      <c r="D4988" t="s">
        <v>200</v>
      </c>
      <c r="E4988">
        <v>2633</v>
      </c>
      <c r="F4988" s="1">
        <v>3.9800000000000002E-2</v>
      </c>
      <c r="H4988" s="1">
        <v>0.48080000000000001</v>
      </c>
      <c r="I4988" s="1">
        <v>0.1661</v>
      </c>
      <c r="K4988" s="1">
        <v>2.8799999999999999E-2</v>
      </c>
      <c r="L4988" s="1">
        <v>0.28460000000000002</v>
      </c>
    </row>
    <row r="4989" spans="1:12" x14ac:dyDescent="0.25">
      <c r="A4989" t="s">
        <v>203</v>
      </c>
      <c r="B4989" t="s">
        <v>229</v>
      </c>
      <c r="C4989">
        <v>137</v>
      </c>
      <c r="D4989" t="s">
        <v>201</v>
      </c>
      <c r="E4989">
        <v>2633</v>
      </c>
      <c r="F4989" s="1">
        <v>3.56E-2</v>
      </c>
      <c r="G4989" s="1">
        <v>1.5E-3</v>
      </c>
      <c r="H4989" s="1">
        <v>0.61</v>
      </c>
      <c r="I4989" s="1">
        <v>0.19850000000000001</v>
      </c>
      <c r="L4989" s="1">
        <v>0.15440000000000001</v>
      </c>
    </row>
    <row r="4990" spans="1:12" x14ac:dyDescent="0.25">
      <c r="A4990" t="s">
        <v>203</v>
      </c>
      <c r="B4990" t="s">
        <v>228</v>
      </c>
      <c r="C4990">
        <v>177</v>
      </c>
      <c r="D4990" t="s">
        <v>201</v>
      </c>
      <c r="E4990">
        <v>2633</v>
      </c>
      <c r="F4990" s="1">
        <v>3.78E-2</v>
      </c>
      <c r="G4990" s="1">
        <v>6.4999999999999997E-3</v>
      </c>
      <c r="H4990" s="1">
        <v>0.66020000000000001</v>
      </c>
      <c r="I4990" s="1">
        <v>0.2331</v>
      </c>
      <c r="K4990" s="1">
        <v>1.72E-2</v>
      </c>
      <c r="L4990" s="1">
        <v>4.5100000000000001E-2</v>
      </c>
    </row>
    <row r="4991" spans="1:12" x14ac:dyDescent="0.25">
      <c r="A4991" t="s">
        <v>203</v>
      </c>
      <c r="B4991" t="s">
        <v>228</v>
      </c>
      <c r="C4991">
        <v>34</v>
      </c>
      <c r="D4991" t="s">
        <v>202</v>
      </c>
      <c r="E4991">
        <v>2633</v>
      </c>
      <c r="F4991" s="1">
        <v>6.08E-2</v>
      </c>
      <c r="H4991" s="1">
        <v>0.5726</v>
      </c>
      <c r="I4991" s="1">
        <v>8.6300000000000002E-2</v>
      </c>
      <c r="L4991" s="1">
        <v>0.2802</v>
      </c>
    </row>
    <row r="4992" spans="1:12" x14ac:dyDescent="0.25">
      <c r="A4992" t="s">
        <v>203</v>
      </c>
      <c r="B4992" t="s">
        <v>229</v>
      </c>
      <c r="C4992">
        <v>56</v>
      </c>
      <c r="D4992" t="s">
        <v>202</v>
      </c>
      <c r="E4992">
        <v>2633</v>
      </c>
      <c r="F4992" s="1">
        <v>1.52E-2</v>
      </c>
      <c r="H4992" s="1">
        <v>0.56559999999999999</v>
      </c>
      <c r="I4992" s="1">
        <v>0.23780000000000001</v>
      </c>
      <c r="K4992" s="1">
        <v>2.58E-2</v>
      </c>
      <c r="L4992" s="1">
        <v>0.15570000000000001</v>
      </c>
    </row>
    <row r="4993" spans="1:12" x14ac:dyDescent="0.25">
      <c r="A4993" t="s">
        <v>204</v>
      </c>
      <c r="B4993" t="s">
        <v>204</v>
      </c>
      <c r="C4993">
        <v>2633</v>
      </c>
      <c r="D4993" t="s">
        <v>204</v>
      </c>
      <c r="E4993">
        <v>2633</v>
      </c>
      <c r="F4993" s="1">
        <v>4.53E-2</v>
      </c>
      <c r="G4993" s="1">
        <v>4.3E-3</v>
      </c>
      <c r="H4993" s="1">
        <v>0.57820000000000005</v>
      </c>
      <c r="I4993" s="1">
        <v>0.2046</v>
      </c>
      <c r="J4993" s="1">
        <v>1E-4</v>
      </c>
      <c r="K4993" s="1">
        <v>9.1000000000000004E-3</v>
      </c>
      <c r="L4993" s="1">
        <v>0.1585</v>
      </c>
    </row>
    <row r="4995" spans="1:12" x14ac:dyDescent="0.25">
      <c r="A4995" t="s">
        <v>1049</v>
      </c>
    </row>
    <row r="4996" spans="1:12" x14ac:dyDescent="0.25">
      <c r="A4996" t="s">
        <v>190</v>
      </c>
      <c r="B4996" t="s">
        <v>206</v>
      </c>
      <c r="C4996" t="s">
        <v>195</v>
      </c>
      <c r="D4996" t="s">
        <v>189</v>
      </c>
      <c r="E4996" t="s">
        <v>196</v>
      </c>
      <c r="F4996" t="s">
        <v>1043</v>
      </c>
      <c r="G4996" t="s">
        <v>220</v>
      </c>
      <c r="H4996" t="s">
        <v>1044</v>
      </c>
      <c r="I4996" t="s">
        <v>1045</v>
      </c>
      <c r="J4996" t="s">
        <v>215</v>
      </c>
      <c r="K4996" t="s">
        <v>1046</v>
      </c>
      <c r="L4996" t="s">
        <v>1047</v>
      </c>
    </row>
    <row r="4997" spans="1:12" x14ac:dyDescent="0.25">
      <c r="A4997" t="s">
        <v>198</v>
      </c>
      <c r="B4997" t="s">
        <v>348</v>
      </c>
      <c r="C4997">
        <v>79</v>
      </c>
      <c r="D4997" t="s">
        <v>197</v>
      </c>
      <c r="E4997">
        <v>2633</v>
      </c>
      <c r="F4997" s="1">
        <v>9.7100000000000006E-2</v>
      </c>
      <c r="G4997" s="1">
        <v>7.7000000000000002E-3</v>
      </c>
      <c r="H4997" s="1">
        <v>0.48780000000000001</v>
      </c>
      <c r="I4997" s="1">
        <v>0.312</v>
      </c>
      <c r="K4997" s="1">
        <v>7.7000000000000002E-3</v>
      </c>
      <c r="L4997" s="1">
        <v>8.7599999999999997E-2</v>
      </c>
    </row>
    <row r="4998" spans="1:12" s="29" customFormat="1" x14ac:dyDescent="0.25">
      <c r="A4998" s="29" t="s">
        <v>198</v>
      </c>
      <c r="B4998" s="29" t="s">
        <v>349</v>
      </c>
      <c r="C4998" s="29">
        <v>3</v>
      </c>
      <c r="D4998" s="29" t="s">
        <v>197</v>
      </c>
      <c r="E4998" s="29">
        <v>2633</v>
      </c>
      <c r="H4998" s="30">
        <v>0.66669999999999996</v>
      </c>
      <c r="I4998" s="30">
        <v>0.33329999999999999</v>
      </c>
    </row>
    <row r="4999" spans="1:12" x14ac:dyDescent="0.25">
      <c r="A4999" t="s">
        <v>198</v>
      </c>
      <c r="B4999" t="s">
        <v>348</v>
      </c>
      <c r="C4999">
        <v>54</v>
      </c>
      <c r="D4999" t="s">
        <v>199</v>
      </c>
      <c r="E4999">
        <v>2633</v>
      </c>
      <c r="H4999" s="1">
        <v>0.46489999999999998</v>
      </c>
      <c r="I4999" s="1">
        <v>0.34620000000000001</v>
      </c>
      <c r="L4999" s="1">
        <v>0.18890000000000001</v>
      </c>
    </row>
    <row r="5000" spans="1:12" x14ac:dyDescent="0.25">
      <c r="A5000" t="s">
        <v>198</v>
      </c>
      <c r="B5000" t="s">
        <v>349</v>
      </c>
      <c r="C5000">
        <v>111</v>
      </c>
      <c r="D5000" t="s">
        <v>199</v>
      </c>
      <c r="E5000">
        <v>2633</v>
      </c>
      <c r="F5000" s="1">
        <v>3.1199999999999999E-2</v>
      </c>
      <c r="G5000" s="1">
        <v>2.7000000000000001E-3</v>
      </c>
      <c r="H5000" s="1">
        <v>0.64359999999999995</v>
      </c>
      <c r="I5000" s="1">
        <v>0.1321</v>
      </c>
      <c r="K5000" s="1">
        <v>2.5999999999999999E-3</v>
      </c>
      <c r="L5000" s="1">
        <v>0.18770000000000001</v>
      </c>
    </row>
    <row r="5001" spans="1:12" x14ac:dyDescent="0.25">
      <c r="A5001" t="s">
        <v>198</v>
      </c>
      <c r="B5001" t="s">
        <v>350</v>
      </c>
      <c r="C5001">
        <v>193</v>
      </c>
      <c r="D5001" t="s">
        <v>199</v>
      </c>
      <c r="E5001">
        <v>2633</v>
      </c>
      <c r="F5001" s="1">
        <v>3.7400000000000003E-2</v>
      </c>
      <c r="G5001" s="1">
        <v>4.8999999999999998E-3</v>
      </c>
      <c r="H5001" s="1">
        <v>0.61570000000000003</v>
      </c>
      <c r="I5001" s="1">
        <v>0.26540000000000002</v>
      </c>
      <c r="K5001" s="1">
        <v>8.0000000000000004E-4</v>
      </c>
      <c r="L5001" s="1">
        <v>7.5800000000000006E-2</v>
      </c>
    </row>
    <row r="5002" spans="1:12" x14ac:dyDescent="0.25">
      <c r="A5002" t="s">
        <v>198</v>
      </c>
      <c r="B5002" t="s">
        <v>350</v>
      </c>
      <c r="C5002">
        <v>78</v>
      </c>
      <c r="D5002" t="s">
        <v>200</v>
      </c>
      <c r="E5002">
        <v>2633</v>
      </c>
      <c r="F5002" s="1">
        <v>4.99E-2</v>
      </c>
      <c r="G5002" s="1">
        <v>1.41E-2</v>
      </c>
      <c r="H5002" s="1">
        <v>0.58120000000000005</v>
      </c>
      <c r="I5002" s="1">
        <v>0.27450000000000002</v>
      </c>
      <c r="L5002" s="1">
        <v>8.0299999999999996E-2</v>
      </c>
    </row>
    <row r="5003" spans="1:12" x14ac:dyDescent="0.25">
      <c r="A5003" t="s">
        <v>198</v>
      </c>
      <c r="B5003" t="s">
        <v>348</v>
      </c>
      <c r="C5003">
        <v>242</v>
      </c>
      <c r="D5003" t="s">
        <v>200</v>
      </c>
      <c r="E5003">
        <v>2633</v>
      </c>
      <c r="F5003" s="1">
        <v>2.7699999999999999E-2</v>
      </c>
      <c r="G5003" s="1">
        <v>8.8000000000000005E-3</v>
      </c>
      <c r="H5003" s="1">
        <v>0.63719999999999999</v>
      </c>
      <c r="I5003" s="1">
        <v>0.1767</v>
      </c>
      <c r="K5003" s="1">
        <v>1.95E-2</v>
      </c>
      <c r="L5003" s="1">
        <v>0.13009999999999999</v>
      </c>
    </row>
    <row r="5004" spans="1:12" x14ac:dyDescent="0.25">
      <c r="A5004" t="s">
        <v>198</v>
      </c>
      <c r="B5004" t="s">
        <v>349</v>
      </c>
      <c r="C5004">
        <v>62</v>
      </c>
      <c r="D5004" t="s">
        <v>200</v>
      </c>
      <c r="E5004">
        <v>2633</v>
      </c>
      <c r="F5004" s="1">
        <v>2.5899999999999999E-2</v>
      </c>
      <c r="H5004" s="1">
        <v>0.64070000000000005</v>
      </c>
      <c r="I5004" s="1">
        <v>0.18</v>
      </c>
      <c r="L5004" s="1">
        <v>0.1535</v>
      </c>
    </row>
    <row r="5005" spans="1:12" x14ac:dyDescent="0.25">
      <c r="A5005" t="s">
        <v>198</v>
      </c>
      <c r="B5005" t="s">
        <v>349</v>
      </c>
      <c r="C5005">
        <v>125</v>
      </c>
      <c r="D5005" t="s">
        <v>201</v>
      </c>
      <c r="E5005">
        <v>2633</v>
      </c>
      <c r="F5005" s="1">
        <v>2.9000000000000001E-2</v>
      </c>
      <c r="G5005" s="1">
        <v>1.3599999999999999E-2</v>
      </c>
      <c r="H5005" s="1">
        <v>0.65269999999999995</v>
      </c>
      <c r="I5005" s="1">
        <v>0.2</v>
      </c>
      <c r="K5005" s="1">
        <v>1.6400000000000001E-2</v>
      </c>
      <c r="L5005" s="1">
        <v>8.8300000000000003E-2</v>
      </c>
    </row>
    <row r="5006" spans="1:12" x14ac:dyDescent="0.25">
      <c r="A5006" t="s">
        <v>198</v>
      </c>
      <c r="B5006" t="s">
        <v>350</v>
      </c>
      <c r="C5006">
        <v>63</v>
      </c>
      <c r="D5006" t="s">
        <v>201</v>
      </c>
      <c r="E5006">
        <v>2633</v>
      </c>
      <c r="F5006" s="1">
        <v>1.47E-2</v>
      </c>
      <c r="G5006" s="1">
        <v>6.8999999999999999E-3</v>
      </c>
      <c r="H5006" s="1">
        <v>0.48570000000000002</v>
      </c>
      <c r="I5006" s="1">
        <v>0.30690000000000001</v>
      </c>
      <c r="K5006" s="1">
        <v>1.47E-2</v>
      </c>
      <c r="L5006" s="1">
        <v>0.17100000000000001</v>
      </c>
    </row>
    <row r="5007" spans="1:12" x14ac:dyDescent="0.25">
      <c r="A5007" t="s">
        <v>198</v>
      </c>
      <c r="B5007" t="s">
        <v>348</v>
      </c>
      <c r="C5007">
        <v>62</v>
      </c>
      <c r="D5007" t="s">
        <v>201</v>
      </c>
      <c r="E5007">
        <v>2633</v>
      </c>
      <c r="F5007" s="1">
        <v>5.8400000000000001E-2</v>
      </c>
      <c r="G5007" s="1">
        <v>1.47E-2</v>
      </c>
      <c r="H5007" s="1">
        <v>0.63129999999999997</v>
      </c>
      <c r="I5007" s="1">
        <v>0.23730000000000001</v>
      </c>
      <c r="K5007" s="1">
        <v>3.4700000000000002E-2</v>
      </c>
      <c r="L5007" s="1">
        <v>2.3599999999999999E-2</v>
      </c>
    </row>
    <row r="5008" spans="1:12" x14ac:dyDescent="0.25">
      <c r="A5008" t="s">
        <v>198</v>
      </c>
      <c r="B5008" t="s">
        <v>348</v>
      </c>
      <c r="C5008">
        <v>96</v>
      </c>
      <c r="D5008" t="s">
        <v>202</v>
      </c>
      <c r="E5008">
        <v>2633</v>
      </c>
      <c r="F5008" s="1">
        <v>3.9300000000000002E-2</v>
      </c>
      <c r="H5008" s="1">
        <v>0.6099</v>
      </c>
      <c r="I5008" s="1">
        <v>0.2167</v>
      </c>
      <c r="L5008" s="1">
        <v>0.13400000000000001</v>
      </c>
    </row>
    <row r="5009" spans="1:12" x14ac:dyDescent="0.25">
      <c r="A5009" t="s">
        <v>203</v>
      </c>
      <c r="B5009" t="s">
        <v>349</v>
      </c>
      <c r="C5009">
        <v>171</v>
      </c>
      <c r="D5009" t="s">
        <v>199</v>
      </c>
      <c r="E5009">
        <v>2633</v>
      </c>
      <c r="F5009" s="1">
        <v>4.2999999999999997E-2</v>
      </c>
      <c r="G5009" s="1">
        <v>3.3E-3</v>
      </c>
      <c r="H5009" s="1">
        <v>0.55649999999999999</v>
      </c>
      <c r="I5009" s="1">
        <v>0.17150000000000001</v>
      </c>
      <c r="K5009" s="1">
        <v>1.4200000000000001E-2</v>
      </c>
      <c r="L5009" s="1">
        <v>0.21149999999999999</v>
      </c>
    </row>
    <row r="5010" spans="1:12" x14ac:dyDescent="0.25">
      <c r="A5010" t="s">
        <v>203</v>
      </c>
      <c r="B5010" t="s">
        <v>348</v>
      </c>
      <c r="C5010">
        <v>42</v>
      </c>
      <c r="D5010" t="s">
        <v>199</v>
      </c>
      <c r="E5010">
        <v>2633</v>
      </c>
      <c r="F5010" s="1">
        <v>1.9900000000000001E-2</v>
      </c>
      <c r="H5010" s="1">
        <v>0.60329999999999995</v>
      </c>
      <c r="I5010" s="1">
        <v>0.15029999999999999</v>
      </c>
      <c r="L5010" s="1">
        <v>0.22650000000000001</v>
      </c>
    </row>
    <row r="5011" spans="1:12" x14ac:dyDescent="0.25">
      <c r="A5011" t="s">
        <v>203</v>
      </c>
      <c r="B5011" t="s">
        <v>350</v>
      </c>
      <c r="C5011">
        <v>307</v>
      </c>
      <c r="D5011" t="s">
        <v>199</v>
      </c>
      <c r="E5011">
        <v>2633</v>
      </c>
      <c r="F5011" s="1">
        <v>4.82E-2</v>
      </c>
      <c r="G5011" s="1">
        <v>1.61E-2</v>
      </c>
      <c r="H5011" s="1">
        <v>0.61970000000000003</v>
      </c>
      <c r="I5011" s="1">
        <v>0.22689999999999999</v>
      </c>
      <c r="J5011" s="1">
        <v>8.9999999999999998E-4</v>
      </c>
      <c r="K5011" s="1">
        <v>9.4000000000000004E-3</v>
      </c>
      <c r="L5011" s="1">
        <v>7.8700000000000006E-2</v>
      </c>
    </row>
    <row r="5012" spans="1:12" x14ac:dyDescent="0.25">
      <c r="A5012" t="s">
        <v>203</v>
      </c>
      <c r="B5012" t="s">
        <v>348</v>
      </c>
      <c r="C5012">
        <v>300</v>
      </c>
      <c r="D5012" t="s">
        <v>200</v>
      </c>
      <c r="E5012">
        <v>2633</v>
      </c>
      <c r="F5012" s="1">
        <v>6.2E-2</v>
      </c>
      <c r="H5012" s="1">
        <v>0.52480000000000004</v>
      </c>
      <c r="I5012" s="1">
        <v>0.17319999999999999</v>
      </c>
      <c r="K5012" s="1">
        <v>8.0000000000000002E-3</v>
      </c>
      <c r="L5012" s="1">
        <v>0.2321</v>
      </c>
    </row>
    <row r="5013" spans="1:12" x14ac:dyDescent="0.25">
      <c r="A5013" t="s">
        <v>203</v>
      </c>
      <c r="B5013" t="s">
        <v>349</v>
      </c>
      <c r="C5013">
        <v>108</v>
      </c>
      <c r="D5013" t="s">
        <v>200</v>
      </c>
      <c r="E5013">
        <v>2633</v>
      </c>
      <c r="F5013" s="1">
        <v>1.4E-3</v>
      </c>
      <c r="H5013" s="1">
        <v>0.5232</v>
      </c>
      <c r="I5013" s="1">
        <v>0.2828</v>
      </c>
      <c r="K5013" s="1">
        <v>2.3099999999999999E-2</v>
      </c>
      <c r="L5013" s="1">
        <v>0.1694</v>
      </c>
    </row>
    <row r="5014" spans="1:12" x14ac:dyDescent="0.25">
      <c r="A5014" t="s">
        <v>203</v>
      </c>
      <c r="B5014" t="s">
        <v>350</v>
      </c>
      <c r="C5014">
        <v>94</v>
      </c>
      <c r="D5014" t="s">
        <v>200</v>
      </c>
      <c r="E5014">
        <v>2633</v>
      </c>
      <c r="F5014" s="1">
        <v>2.07E-2</v>
      </c>
      <c r="H5014" s="1">
        <v>0.61450000000000005</v>
      </c>
      <c r="I5014" s="1">
        <v>0.1552</v>
      </c>
      <c r="L5014" s="1">
        <v>0.20949999999999999</v>
      </c>
    </row>
    <row r="5015" spans="1:12" x14ac:dyDescent="0.25">
      <c r="A5015" t="s">
        <v>203</v>
      </c>
      <c r="B5015" t="s">
        <v>348</v>
      </c>
      <c r="C5015">
        <v>62</v>
      </c>
      <c r="D5015" t="s">
        <v>201</v>
      </c>
      <c r="E5015">
        <v>2633</v>
      </c>
      <c r="F5015" s="1">
        <v>2.52E-2</v>
      </c>
      <c r="H5015" s="1">
        <v>0.6119</v>
      </c>
      <c r="I5015" s="1">
        <v>0.25419999999999998</v>
      </c>
      <c r="K5015" s="1">
        <v>3.5400000000000001E-2</v>
      </c>
      <c r="L5015" s="1">
        <v>7.3300000000000004E-2</v>
      </c>
    </row>
    <row r="5016" spans="1:12" x14ac:dyDescent="0.25">
      <c r="A5016" t="s">
        <v>203</v>
      </c>
      <c r="B5016" t="s">
        <v>349</v>
      </c>
      <c r="C5016">
        <v>147</v>
      </c>
      <c r="D5016" t="s">
        <v>201</v>
      </c>
      <c r="E5016">
        <v>2633</v>
      </c>
      <c r="F5016" s="1">
        <v>3.2500000000000001E-2</v>
      </c>
      <c r="H5016" s="1">
        <v>0.63180000000000003</v>
      </c>
      <c r="I5016" s="1">
        <v>0.19850000000000001</v>
      </c>
      <c r="L5016" s="1">
        <v>0.1371</v>
      </c>
    </row>
    <row r="5017" spans="1:12" x14ac:dyDescent="0.25">
      <c r="A5017" t="s">
        <v>203</v>
      </c>
      <c r="B5017" t="s">
        <v>350</v>
      </c>
      <c r="C5017">
        <v>105</v>
      </c>
      <c r="D5017" t="s">
        <v>201</v>
      </c>
      <c r="E5017">
        <v>2633</v>
      </c>
      <c r="F5017" s="1">
        <v>9.4899999999999998E-2</v>
      </c>
      <c r="G5017" s="1">
        <v>3.7999999999999999E-2</v>
      </c>
      <c r="H5017" s="1">
        <v>0.52580000000000005</v>
      </c>
      <c r="I5017" s="1">
        <v>0.22739999999999999</v>
      </c>
      <c r="K5017" s="1">
        <v>2.8E-3</v>
      </c>
      <c r="L5017" s="1">
        <v>0.11119999999999999</v>
      </c>
    </row>
    <row r="5018" spans="1:12" x14ac:dyDescent="0.25">
      <c r="A5018" t="s">
        <v>203</v>
      </c>
      <c r="B5018" t="s">
        <v>348</v>
      </c>
      <c r="C5018">
        <v>90</v>
      </c>
      <c r="D5018" t="s">
        <v>202</v>
      </c>
      <c r="E5018">
        <v>2633</v>
      </c>
      <c r="F5018" s="1">
        <v>2.81E-2</v>
      </c>
      <c r="H5018" s="1">
        <v>0.56759999999999999</v>
      </c>
      <c r="I5018" s="1">
        <v>0.19500000000000001</v>
      </c>
      <c r="K5018" s="1">
        <v>1.8499999999999999E-2</v>
      </c>
      <c r="L5018" s="1">
        <v>0.19089999999999999</v>
      </c>
    </row>
    <row r="5019" spans="1:12" x14ac:dyDescent="0.25">
      <c r="A5019" t="s">
        <v>204</v>
      </c>
      <c r="B5019" t="s">
        <v>204</v>
      </c>
      <c r="C5019">
        <v>2633</v>
      </c>
      <c r="D5019" t="s">
        <v>204</v>
      </c>
      <c r="E5019">
        <v>2633</v>
      </c>
      <c r="F5019" s="1">
        <v>4.53E-2</v>
      </c>
      <c r="G5019" s="1">
        <v>4.3E-3</v>
      </c>
      <c r="H5019" s="1">
        <v>0.57820000000000005</v>
      </c>
      <c r="I5019" s="1">
        <v>0.2046</v>
      </c>
      <c r="J5019" s="1">
        <v>1E-4</v>
      </c>
      <c r="K5019" s="1">
        <v>9.1000000000000004E-3</v>
      </c>
      <c r="L5019" s="1">
        <v>0.1585</v>
      </c>
    </row>
    <row r="5021" spans="1:12" x14ac:dyDescent="0.25">
      <c r="A5021" t="s">
        <v>1050</v>
      </c>
    </row>
    <row r="5022" spans="1:12" x14ac:dyDescent="0.25">
      <c r="A5022" t="s">
        <v>190</v>
      </c>
      <c r="B5022" t="s">
        <v>195</v>
      </c>
      <c r="C5022" t="s">
        <v>189</v>
      </c>
      <c r="D5022" t="s">
        <v>196</v>
      </c>
      <c r="E5022" t="s">
        <v>220</v>
      </c>
      <c r="F5022" t="s">
        <v>1051</v>
      </c>
      <c r="G5022" t="s">
        <v>1052</v>
      </c>
      <c r="H5022" t="s">
        <v>215</v>
      </c>
      <c r="I5022" t="s">
        <v>208</v>
      </c>
    </row>
    <row r="5023" spans="1:12" x14ac:dyDescent="0.25">
      <c r="A5023" t="s">
        <v>198</v>
      </c>
      <c r="B5023">
        <v>82</v>
      </c>
      <c r="C5023" t="s">
        <v>197</v>
      </c>
      <c r="D5023">
        <v>2633</v>
      </c>
      <c r="E5023" s="1">
        <v>2.0799999999999999E-2</v>
      </c>
      <c r="F5023" s="1">
        <v>0.21199999999999999</v>
      </c>
      <c r="G5023" s="1">
        <v>0.51870000000000005</v>
      </c>
      <c r="I5023" s="1">
        <v>0.2485</v>
      </c>
    </row>
    <row r="5024" spans="1:12" x14ac:dyDescent="0.25">
      <c r="A5024" t="s">
        <v>198</v>
      </c>
      <c r="B5024">
        <v>368</v>
      </c>
      <c r="C5024" t="s">
        <v>199</v>
      </c>
      <c r="D5024">
        <v>2633</v>
      </c>
      <c r="E5024" s="1">
        <v>1.6000000000000001E-3</v>
      </c>
      <c r="F5024" s="1">
        <v>6.7400000000000002E-2</v>
      </c>
      <c r="G5024" s="1">
        <v>0.71030000000000004</v>
      </c>
      <c r="I5024" s="1">
        <v>0.2208</v>
      </c>
    </row>
    <row r="5025" spans="1:10" x14ac:dyDescent="0.25">
      <c r="A5025" t="s">
        <v>198</v>
      </c>
      <c r="B5025">
        <v>387</v>
      </c>
      <c r="C5025" t="s">
        <v>200</v>
      </c>
      <c r="D5025">
        <v>2633</v>
      </c>
      <c r="E5025" s="1">
        <v>5.4999999999999997E-3</v>
      </c>
      <c r="F5025" s="1">
        <v>9.1700000000000004E-2</v>
      </c>
      <c r="G5025" s="1">
        <v>0.67969999999999997</v>
      </c>
      <c r="H5025" s="1">
        <v>8.0000000000000004E-4</v>
      </c>
      <c r="I5025" s="1">
        <v>0.2223</v>
      </c>
    </row>
    <row r="5026" spans="1:10" x14ac:dyDescent="0.25">
      <c r="A5026" t="s">
        <v>198</v>
      </c>
      <c r="B5026">
        <v>256</v>
      </c>
      <c r="C5026" t="s">
        <v>201</v>
      </c>
      <c r="D5026">
        <v>2633</v>
      </c>
      <c r="E5026" s="1">
        <v>1.8599999999999998E-2</v>
      </c>
      <c r="F5026" s="1">
        <v>0.1037</v>
      </c>
      <c r="G5026" s="1">
        <v>0.66739999999999999</v>
      </c>
      <c r="I5026" s="1">
        <v>0.2102</v>
      </c>
    </row>
    <row r="5027" spans="1:10" x14ac:dyDescent="0.25">
      <c r="A5027" t="s">
        <v>198</v>
      </c>
      <c r="B5027">
        <v>96</v>
      </c>
      <c r="C5027" t="s">
        <v>202</v>
      </c>
      <c r="D5027">
        <v>2633</v>
      </c>
      <c r="F5027" s="1">
        <v>0.1331</v>
      </c>
      <c r="G5027" s="1">
        <v>0.63249999999999995</v>
      </c>
      <c r="H5027" s="1">
        <v>2.52E-2</v>
      </c>
      <c r="I5027" s="1">
        <v>0.20910000000000001</v>
      </c>
    </row>
    <row r="5028" spans="1:10" x14ac:dyDescent="0.25">
      <c r="A5028" t="s">
        <v>203</v>
      </c>
      <c r="B5028">
        <v>530</v>
      </c>
      <c r="C5028" t="s">
        <v>199</v>
      </c>
      <c r="D5028">
        <v>2633</v>
      </c>
      <c r="E5028" s="1">
        <v>5.9999999999999995E-4</v>
      </c>
      <c r="F5028" s="1">
        <v>5.5899999999999998E-2</v>
      </c>
      <c r="G5028" s="1">
        <v>0.71619999999999995</v>
      </c>
      <c r="H5028" s="1">
        <v>1.4E-3</v>
      </c>
      <c r="I5028" s="1">
        <v>0.22589999999999999</v>
      </c>
    </row>
    <row r="5029" spans="1:10" x14ac:dyDescent="0.25">
      <c r="A5029" t="s">
        <v>203</v>
      </c>
      <c r="B5029">
        <v>503</v>
      </c>
      <c r="C5029" t="s">
        <v>200</v>
      </c>
      <c r="D5029">
        <v>2633</v>
      </c>
      <c r="F5029" s="1">
        <v>4.9799999999999997E-2</v>
      </c>
      <c r="G5029" s="1">
        <v>0.6159</v>
      </c>
      <c r="H5029" s="1">
        <v>9.1000000000000004E-3</v>
      </c>
      <c r="I5029" s="1">
        <v>0.3251</v>
      </c>
    </row>
    <row r="5030" spans="1:10" x14ac:dyDescent="0.25">
      <c r="A5030" t="s">
        <v>203</v>
      </c>
      <c r="B5030">
        <v>321</v>
      </c>
      <c r="C5030" t="s">
        <v>201</v>
      </c>
      <c r="D5030">
        <v>2633</v>
      </c>
      <c r="E5030" s="1">
        <v>2.0000000000000001E-4</v>
      </c>
      <c r="F5030" s="1">
        <v>7.3999999999999996E-2</v>
      </c>
      <c r="G5030" s="1">
        <v>0.4622</v>
      </c>
      <c r="H5030" s="1">
        <v>2.0000000000000001E-4</v>
      </c>
      <c r="I5030" s="1">
        <v>0.46350000000000002</v>
      </c>
    </row>
    <row r="5031" spans="1:10" x14ac:dyDescent="0.25">
      <c r="A5031" t="s">
        <v>203</v>
      </c>
      <c r="B5031">
        <v>90</v>
      </c>
      <c r="C5031" t="s">
        <v>202</v>
      </c>
      <c r="D5031">
        <v>2633</v>
      </c>
      <c r="E5031" s="1">
        <v>5.8999999999999999E-3</v>
      </c>
      <c r="F5031" s="1">
        <v>8.6199999999999999E-2</v>
      </c>
      <c r="G5031" s="1">
        <v>0.68010000000000004</v>
      </c>
      <c r="H5031" s="1">
        <v>1.09E-2</v>
      </c>
      <c r="I5031" s="1">
        <v>0.21690000000000001</v>
      </c>
    </row>
    <row r="5032" spans="1:10" x14ac:dyDescent="0.25">
      <c r="A5032" t="s">
        <v>204</v>
      </c>
      <c r="B5032">
        <v>2633</v>
      </c>
      <c r="C5032" t="s">
        <v>204</v>
      </c>
      <c r="D5032">
        <v>2633</v>
      </c>
      <c r="E5032" s="1">
        <v>3.5000000000000001E-3</v>
      </c>
      <c r="F5032" s="1">
        <v>8.2199999999999995E-2</v>
      </c>
      <c r="G5032" s="1">
        <v>0.64149999999999996</v>
      </c>
      <c r="H5032" s="1">
        <v>6.0000000000000001E-3</v>
      </c>
      <c r="I5032" s="1">
        <v>0.26679999999999998</v>
      </c>
    </row>
    <row r="5034" spans="1:10" x14ac:dyDescent="0.25">
      <c r="A5034" t="s">
        <v>1053</v>
      </c>
    </row>
    <row r="5035" spans="1:10" x14ac:dyDescent="0.25">
      <c r="A5035" t="s">
        <v>190</v>
      </c>
      <c r="B5035" t="s">
        <v>206</v>
      </c>
      <c r="C5035" t="s">
        <v>195</v>
      </c>
      <c r="D5035" t="s">
        <v>189</v>
      </c>
      <c r="E5035" t="s">
        <v>196</v>
      </c>
      <c r="F5035" t="s">
        <v>220</v>
      </c>
      <c r="G5035" t="s">
        <v>1051</v>
      </c>
      <c r="H5035" t="s">
        <v>1052</v>
      </c>
      <c r="I5035" t="s">
        <v>215</v>
      </c>
      <c r="J5035" t="s">
        <v>208</v>
      </c>
    </row>
    <row r="5036" spans="1:10" x14ac:dyDescent="0.25">
      <c r="A5036" t="s">
        <v>198</v>
      </c>
      <c r="B5036" t="s">
        <v>228</v>
      </c>
      <c r="C5036">
        <v>33</v>
      </c>
      <c r="D5036" t="s">
        <v>197</v>
      </c>
      <c r="E5036">
        <v>2633</v>
      </c>
      <c r="F5036" s="1">
        <v>4.82E-2</v>
      </c>
      <c r="G5036" s="1">
        <v>0.25679999999999997</v>
      </c>
      <c r="H5036" s="1">
        <v>0.63759999999999994</v>
      </c>
      <c r="J5036" s="1">
        <v>5.74E-2</v>
      </c>
    </row>
    <row r="5037" spans="1:10" x14ac:dyDescent="0.25">
      <c r="A5037" t="s">
        <v>198</v>
      </c>
      <c r="B5037" t="s">
        <v>229</v>
      </c>
      <c r="C5037">
        <v>49</v>
      </c>
      <c r="D5037" t="s">
        <v>197</v>
      </c>
      <c r="E5037">
        <v>2633</v>
      </c>
      <c r="G5037" s="1">
        <v>0.17799999999999999</v>
      </c>
      <c r="H5037" s="1">
        <v>0.42830000000000001</v>
      </c>
      <c r="J5037" s="1">
        <v>0.39369999999999999</v>
      </c>
    </row>
    <row r="5038" spans="1:10" x14ac:dyDescent="0.25">
      <c r="A5038" t="s">
        <v>198</v>
      </c>
      <c r="B5038" t="s">
        <v>228</v>
      </c>
      <c r="C5038">
        <v>145</v>
      </c>
      <c r="D5038" t="s">
        <v>199</v>
      </c>
      <c r="E5038">
        <v>2633</v>
      </c>
      <c r="F5038" s="1">
        <v>6.1000000000000004E-3</v>
      </c>
      <c r="G5038" s="1">
        <v>0.11119999999999999</v>
      </c>
      <c r="H5038" s="1">
        <v>0.62029999999999996</v>
      </c>
      <c r="J5038" s="1">
        <v>0.26229999999999998</v>
      </c>
    </row>
    <row r="5039" spans="1:10" x14ac:dyDescent="0.25">
      <c r="A5039" t="s">
        <v>198</v>
      </c>
      <c r="B5039" t="s">
        <v>229</v>
      </c>
      <c r="C5039">
        <v>213</v>
      </c>
      <c r="D5039" t="s">
        <v>199</v>
      </c>
      <c r="E5039">
        <v>2633</v>
      </c>
      <c r="G5039" s="1">
        <v>5.2699999999999997E-2</v>
      </c>
      <c r="H5039" s="1">
        <v>0.74209999999999998</v>
      </c>
      <c r="J5039" s="1">
        <v>0.2051</v>
      </c>
    </row>
    <row r="5040" spans="1:10" x14ac:dyDescent="0.25">
      <c r="A5040" t="s">
        <v>198</v>
      </c>
      <c r="B5040" t="s">
        <v>229</v>
      </c>
      <c r="C5040">
        <v>270</v>
      </c>
      <c r="D5040" t="s">
        <v>200</v>
      </c>
      <c r="E5040">
        <v>2633</v>
      </c>
      <c r="F5040" s="1">
        <v>7.1999999999999998E-3</v>
      </c>
      <c r="G5040" s="1">
        <v>7.9399999999999998E-2</v>
      </c>
      <c r="H5040" s="1">
        <v>0.7026</v>
      </c>
      <c r="I5040" s="1">
        <v>1.1000000000000001E-3</v>
      </c>
      <c r="J5040" s="1">
        <v>0.20979999999999999</v>
      </c>
    </row>
    <row r="5041" spans="1:10" x14ac:dyDescent="0.25">
      <c r="A5041" t="s">
        <v>198</v>
      </c>
      <c r="B5041" t="s">
        <v>228</v>
      </c>
      <c r="C5041">
        <v>112</v>
      </c>
      <c r="D5041" t="s">
        <v>200</v>
      </c>
      <c r="E5041">
        <v>2633</v>
      </c>
      <c r="G5041" s="1">
        <v>0.1348</v>
      </c>
      <c r="H5041" s="1">
        <v>0.60460000000000003</v>
      </c>
      <c r="J5041" s="1">
        <v>0.2606</v>
      </c>
    </row>
    <row r="5042" spans="1:10" x14ac:dyDescent="0.25">
      <c r="A5042" t="s">
        <v>198</v>
      </c>
      <c r="B5042" t="s">
        <v>228</v>
      </c>
      <c r="C5042">
        <v>95</v>
      </c>
      <c r="D5042" t="s">
        <v>201</v>
      </c>
      <c r="E5042">
        <v>2633</v>
      </c>
      <c r="F5042" s="1">
        <v>5.7999999999999996E-3</v>
      </c>
      <c r="G5042" s="1">
        <v>0.21079999999999999</v>
      </c>
      <c r="H5042" s="1">
        <v>0.64629999999999999</v>
      </c>
      <c r="J5042" s="1">
        <v>0.1371</v>
      </c>
    </row>
    <row r="5043" spans="1:10" x14ac:dyDescent="0.25">
      <c r="A5043" t="s">
        <v>198</v>
      </c>
      <c r="B5043" t="s">
        <v>229</v>
      </c>
      <c r="C5043">
        <v>155</v>
      </c>
      <c r="D5043" t="s">
        <v>201</v>
      </c>
      <c r="E5043">
        <v>2633</v>
      </c>
      <c r="F5043" s="1">
        <v>2.23E-2</v>
      </c>
      <c r="G5043" s="1">
        <v>7.0099999999999996E-2</v>
      </c>
      <c r="H5043" s="1">
        <v>0.68110000000000004</v>
      </c>
      <c r="J5043" s="1">
        <v>0.22650000000000001</v>
      </c>
    </row>
    <row r="5044" spans="1:10" s="29" customFormat="1" x14ac:dyDescent="0.25">
      <c r="A5044" s="29" t="s">
        <v>198</v>
      </c>
      <c r="B5044" s="29" t="s">
        <v>228</v>
      </c>
      <c r="C5044" s="29">
        <v>28</v>
      </c>
      <c r="D5044" s="29" t="s">
        <v>202</v>
      </c>
      <c r="E5044" s="29">
        <v>2633</v>
      </c>
      <c r="G5044" s="30">
        <v>5.0900000000000001E-2</v>
      </c>
      <c r="H5044" s="30">
        <v>0.81240000000000001</v>
      </c>
      <c r="J5044" s="30">
        <v>0.13669999999999999</v>
      </c>
    </row>
    <row r="5045" spans="1:10" x14ac:dyDescent="0.25">
      <c r="A5045" t="s">
        <v>198</v>
      </c>
      <c r="B5045" t="s">
        <v>229</v>
      </c>
      <c r="C5045">
        <v>68</v>
      </c>
      <c r="D5045" t="s">
        <v>202</v>
      </c>
      <c r="E5045">
        <v>2633</v>
      </c>
      <c r="G5045" s="1">
        <v>0.15859999999999999</v>
      </c>
      <c r="H5045" s="1">
        <v>0.57679999999999998</v>
      </c>
      <c r="I5045" s="1">
        <v>3.3000000000000002E-2</v>
      </c>
      <c r="J5045" s="1">
        <v>0.23150000000000001</v>
      </c>
    </row>
    <row r="5046" spans="1:10" x14ac:dyDescent="0.25">
      <c r="A5046" t="s">
        <v>203</v>
      </c>
      <c r="B5046" t="s">
        <v>229</v>
      </c>
      <c r="C5046">
        <v>370</v>
      </c>
      <c r="D5046" t="s">
        <v>199</v>
      </c>
      <c r="E5046">
        <v>2633</v>
      </c>
      <c r="G5046" s="1">
        <v>4.65E-2</v>
      </c>
      <c r="H5046" s="1">
        <v>0.73570000000000002</v>
      </c>
      <c r="I5046" s="1">
        <v>5.9999999999999995E-4</v>
      </c>
      <c r="J5046" s="1">
        <v>0.2172</v>
      </c>
    </row>
    <row r="5047" spans="1:10" x14ac:dyDescent="0.25">
      <c r="A5047" t="s">
        <v>203</v>
      </c>
      <c r="B5047" t="s">
        <v>228</v>
      </c>
      <c r="C5047">
        <v>150</v>
      </c>
      <c r="D5047" t="s">
        <v>199</v>
      </c>
      <c r="E5047">
        <v>2633</v>
      </c>
      <c r="F5047" s="1">
        <v>5.8999999999999999E-3</v>
      </c>
      <c r="G5047" s="1">
        <v>0.1278</v>
      </c>
      <c r="H5047" s="1">
        <v>0.57410000000000005</v>
      </c>
      <c r="I5047" s="1">
        <v>8.5000000000000006E-3</v>
      </c>
      <c r="J5047" s="1">
        <v>0.2838</v>
      </c>
    </row>
    <row r="5048" spans="1:10" x14ac:dyDescent="0.25">
      <c r="A5048" t="s">
        <v>203</v>
      </c>
      <c r="B5048" t="s">
        <v>229</v>
      </c>
      <c r="C5048">
        <v>347</v>
      </c>
      <c r="D5048" t="s">
        <v>200</v>
      </c>
      <c r="E5048">
        <v>2633</v>
      </c>
      <c r="G5048" s="1">
        <v>3.8600000000000002E-2</v>
      </c>
      <c r="H5048" s="1">
        <v>0.60870000000000002</v>
      </c>
      <c r="I5048" s="1">
        <v>1.1299999999999999E-2</v>
      </c>
      <c r="J5048" s="1">
        <v>0.34139999999999998</v>
      </c>
    </row>
    <row r="5049" spans="1:10" x14ac:dyDescent="0.25">
      <c r="A5049" t="s">
        <v>203</v>
      </c>
      <c r="B5049" t="s">
        <v>228</v>
      </c>
      <c r="C5049">
        <v>155</v>
      </c>
      <c r="D5049" t="s">
        <v>200</v>
      </c>
      <c r="E5049">
        <v>2633</v>
      </c>
      <c r="G5049" s="1">
        <v>9.6699999999999994E-2</v>
      </c>
      <c r="H5049" s="1">
        <v>0.64649999999999996</v>
      </c>
      <c r="J5049" s="1">
        <v>0.25679999999999997</v>
      </c>
    </row>
    <row r="5050" spans="1:10" x14ac:dyDescent="0.25">
      <c r="A5050" t="s">
        <v>203</v>
      </c>
      <c r="B5050" t="s">
        <v>229</v>
      </c>
      <c r="C5050">
        <v>137</v>
      </c>
      <c r="D5050" t="s">
        <v>201</v>
      </c>
      <c r="E5050">
        <v>2633</v>
      </c>
      <c r="G5050" s="1">
        <v>5.9799999999999999E-2</v>
      </c>
      <c r="H5050" s="1">
        <v>0.43359999999999999</v>
      </c>
      <c r="J5050" s="1">
        <v>0.50660000000000005</v>
      </c>
    </row>
    <row r="5051" spans="1:10" x14ac:dyDescent="0.25">
      <c r="A5051" t="s">
        <v>203</v>
      </c>
      <c r="B5051" t="s">
        <v>228</v>
      </c>
      <c r="C5051">
        <v>177</v>
      </c>
      <c r="D5051" t="s">
        <v>201</v>
      </c>
      <c r="E5051">
        <v>2633</v>
      </c>
      <c r="F5051" s="1">
        <v>8.0000000000000004E-4</v>
      </c>
      <c r="G5051" s="1">
        <v>0.11890000000000001</v>
      </c>
      <c r="H5051" s="1">
        <v>0.55030000000000001</v>
      </c>
      <c r="I5051" s="1">
        <v>8.0000000000000004E-4</v>
      </c>
      <c r="J5051" s="1">
        <v>0.3291</v>
      </c>
    </row>
    <row r="5052" spans="1:10" x14ac:dyDescent="0.25">
      <c r="A5052" t="s">
        <v>203</v>
      </c>
      <c r="B5052" t="s">
        <v>228</v>
      </c>
      <c r="C5052">
        <v>34</v>
      </c>
      <c r="D5052" t="s">
        <v>202</v>
      </c>
      <c r="E5052">
        <v>2633</v>
      </c>
      <c r="F5052" s="1">
        <v>2.0899999999999998E-2</v>
      </c>
      <c r="G5052" s="1">
        <v>1.32E-2</v>
      </c>
      <c r="H5052" s="1">
        <v>0.68459999999999999</v>
      </c>
      <c r="J5052" s="1">
        <v>0.28129999999999999</v>
      </c>
    </row>
    <row r="5053" spans="1:10" x14ac:dyDescent="0.25">
      <c r="A5053" t="s">
        <v>203</v>
      </c>
      <c r="B5053" t="s">
        <v>229</v>
      </c>
      <c r="C5053">
        <v>56</v>
      </c>
      <c r="D5053" t="s">
        <v>202</v>
      </c>
      <c r="E5053">
        <v>2633</v>
      </c>
      <c r="G5053" s="1">
        <v>0.1149</v>
      </c>
      <c r="H5053" s="1">
        <v>0.6784</v>
      </c>
      <c r="I5053" s="1">
        <v>1.52E-2</v>
      </c>
      <c r="J5053" s="1">
        <v>0.1915</v>
      </c>
    </row>
    <row r="5054" spans="1:10" x14ac:dyDescent="0.25">
      <c r="A5054" t="s">
        <v>204</v>
      </c>
      <c r="B5054" t="s">
        <v>204</v>
      </c>
      <c r="C5054">
        <v>2633</v>
      </c>
      <c r="D5054" t="s">
        <v>204</v>
      </c>
      <c r="E5054">
        <v>2633</v>
      </c>
      <c r="F5054" s="1">
        <v>3.5000000000000001E-3</v>
      </c>
      <c r="G5054" s="1">
        <v>8.2199999999999995E-2</v>
      </c>
      <c r="H5054" s="1">
        <v>0.64149999999999996</v>
      </c>
      <c r="I5054" s="1">
        <v>6.0000000000000001E-3</v>
      </c>
      <c r="J5054" s="1">
        <v>0.26679999999999998</v>
      </c>
    </row>
    <row r="5056" spans="1:10" x14ac:dyDescent="0.25">
      <c r="A5056" t="s">
        <v>1054</v>
      </c>
    </row>
    <row r="5057" spans="1:10" x14ac:dyDescent="0.25">
      <c r="A5057" t="s">
        <v>190</v>
      </c>
      <c r="B5057" t="s">
        <v>206</v>
      </c>
      <c r="C5057" t="s">
        <v>195</v>
      </c>
      <c r="D5057" t="s">
        <v>189</v>
      </c>
      <c r="E5057" t="s">
        <v>196</v>
      </c>
      <c r="F5057" t="s">
        <v>220</v>
      </c>
      <c r="G5057" t="s">
        <v>1051</v>
      </c>
      <c r="H5057" t="s">
        <v>1052</v>
      </c>
      <c r="I5057" t="s">
        <v>215</v>
      </c>
      <c r="J5057" t="s">
        <v>208</v>
      </c>
    </row>
    <row r="5058" spans="1:10" x14ac:dyDescent="0.25">
      <c r="A5058" t="s">
        <v>198</v>
      </c>
      <c r="B5058" t="s">
        <v>348</v>
      </c>
      <c r="C5058">
        <v>79</v>
      </c>
      <c r="D5058" t="s">
        <v>197</v>
      </c>
      <c r="E5058">
        <v>2633</v>
      </c>
      <c r="F5058" s="1">
        <v>2.1499999999999998E-2</v>
      </c>
      <c r="G5058" s="1">
        <v>0.2079</v>
      </c>
      <c r="H5058" s="1">
        <v>0.51359999999999995</v>
      </c>
      <c r="J5058" s="1">
        <v>0.25700000000000001</v>
      </c>
    </row>
    <row r="5059" spans="1:10" s="29" customFormat="1" x14ac:dyDescent="0.25">
      <c r="A5059" s="29" t="s">
        <v>198</v>
      </c>
      <c r="B5059" s="29" t="s">
        <v>349</v>
      </c>
      <c r="C5059" s="29">
        <v>3</v>
      </c>
      <c r="D5059" s="29" t="s">
        <v>197</v>
      </c>
      <c r="E5059" s="29">
        <v>2633</v>
      </c>
      <c r="G5059" s="30">
        <v>0.33329999999999999</v>
      </c>
      <c r="H5059" s="30">
        <v>0.66669999999999996</v>
      </c>
    </row>
    <row r="5060" spans="1:10" x14ac:dyDescent="0.25">
      <c r="A5060" t="s">
        <v>198</v>
      </c>
      <c r="B5060" t="s">
        <v>348</v>
      </c>
      <c r="C5060">
        <v>54</v>
      </c>
      <c r="D5060" t="s">
        <v>199</v>
      </c>
      <c r="E5060">
        <v>2633</v>
      </c>
      <c r="G5060" s="1">
        <v>4.4699999999999997E-2</v>
      </c>
      <c r="H5060" s="1">
        <v>0.58730000000000004</v>
      </c>
      <c r="J5060" s="1">
        <v>0.36799999999999999</v>
      </c>
    </row>
    <row r="5061" spans="1:10" x14ac:dyDescent="0.25">
      <c r="A5061" t="s">
        <v>198</v>
      </c>
      <c r="B5061" t="s">
        <v>349</v>
      </c>
      <c r="C5061">
        <v>111</v>
      </c>
      <c r="D5061" t="s">
        <v>199</v>
      </c>
      <c r="E5061">
        <v>2633</v>
      </c>
      <c r="F5061" s="1">
        <v>6.9999999999999999E-4</v>
      </c>
      <c r="G5061" s="1">
        <v>5.8000000000000003E-2</v>
      </c>
      <c r="H5061" s="1">
        <v>0.75609999999999999</v>
      </c>
      <c r="J5061" s="1">
        <v>0.1852</v>
      </c>
    </row>
    <row r="5062" spans="1:10" x14ac:dyDescent="0.25">
      <c r="A5062" t="s">
        <v>198</v>
      </c>
      <c r="B5062" t="s">
        <v>350</v>
      </c>
      <c r="C5062">
        <v>193</v>
      </c>
      <c r="D5062" t="s">
        <v>199</v>
      </c>
      <c r="E5062">
        <v>2633</v>
      </c>
      <c r="F5062" s="1">
        <v>3.0999999999999999E-3</v>
      </c>
      <c r="G5062" s="1">
        <v>8.6699999999999999E-2</v>
      </c>
      <c r="H5062" s="1">
        <v>0.70240000000000002</v>
      </c>
      <c r="J5062" s="1">
        <v>0.20780000000000001</v>
      </c>
    </row>
    <row r="5063" spans="1:10" x14ac:dyDescent="0.25">
      <c r="A5063" t="s">
        <v>198</v>
      </c>
      <c r="B5063" t="s">
        <v>350</v>
      </c>
      <c r="C5063">
        <v>78</v>
      </c>
      <c r="D5063" t="s">
        <v>200</v>
      </c>
      <c r="E5063">
        <v>2633</v>
      </c>
      <c r="F5063" s="1">
        <v>1.4E-3</v>
      </c>
      <c r="G5063" s="1">
        <v>0.1027</v>
      </c>
      <c r="H5063" s="1">
        <v>0.53359999999999996</v>
      </c>
      <c r="J5063" s="1">
        <v>0.36220000000000002</v>
      </c>
    </row>
    <row r="5064" spans="1:10" x14ac:dyDescent="0.25">
      <c r="A5064" t="s">
        <v>198</v>
      </c>
      <c r="B5064" t="s">
        <v>348</v>
      </c>
      <c r="C5064">
        <v>242</v>
      </c>
      <c r="D5064" t="s">
        <v>200</v>
      </c>
      <c r="E5064">
        <v>2633</v>
      </c>
      <c r="F5064" s="1">
        <v>5.3E-3</v>
      </c>
      <c r="G5064" s="1">
        <v>8.5099999999999995E-2</v>
      </c>
      <c r="H5064" s="1">
        <v>0.69189999999999996</v>
      </c>
      <c r="J5064" s="1">
        <v>0.21779999999999999</v>
      </c>
    </row>
    <row r="5065" spans="1:10" x14ac:dyDescent="0.25">
      <c r="A5065" t="s">
        <v>198</v>
      </c>
      <c r="B5065" t="s">
        <v>349</v>
      </c>
      <c r="C5065">
        <v>62</v>
      </c>
      <c r="D5065" t="s">
        <v>200</v>
      </c>
      <c r="E5065">
        <v>2633</v>
      </c>
      <c r="F5065" s="1">
        <v>1.38E-2</v>
      </c>
      <c r="G5065" s="1">
        <v>0.18820000000000001</v>
      </c>
      <c r="H5065" s="1">
        <v>0.6764</v>
      </c>
      <c r="I5065" s="1">
        <v>1.38E-2</v>
      </c>
      <c r="J5065" s="1">
        <v>0.10780000000000001</v>
      </c>
    </row>
    <row r="5066" spans="1:10" x14ac:dyDescent="0.25">
      <c r="A5066" t="s">
        <v>198</v>
      </c>
      <c r="B5066" t="s">
        <v>349</v>
      </c>
      <c r="C5066">
        <v>125</v>
      </c>
      <c r="D5066" t="s">
        <v>201</v>
      </c>
      <c r="E5066">
        <v>2633</v>
      </c>
      <c r="F5066" s="1">
        <v>7.0000000000000001E-3</v>
      </c>
      <c r="G5066" s="1">
        <v>0.10340000000000001</v>
      </c>
      <c r="H5066" s="1">
        <v>0.67620000000000002</v>
      </c>
      <c r="J5066" s="1">
        <v>0.21340000000000001</v>
      </c>
    </row>
    <row r="5067" spans="1:10" x14ac:dyDescent="0.25">
      <c r="A5067" t="s">
        <v>198</v>
      </c>
      <c r="B5067" t="s">
        <v>350</v>
      </c>
      <c r="C5067">
        <v>63</v>
      </c>
      <c r="D5067" t="s">
        <v>201</v>
      </c>
      <c r="E5067">
        <v>2633</v>
      </c>
      <c r="G5067" s="1">
        <v>0.12859999999999999</v>
      </c>
      <c r="H5067" s="1">
        <v>0.60440000000000005</v>
      </c>
      <c r="J5067" s="1">
        <v>0.26700000000000002</v>
      </c>
    </row>
    <row r="5068" spans="1:10" x14ac:dyDescent="0.25">
      <c r="A5068" t="s">
        <v>198</v>
      </c>
      <c r="B5068" t="s">
        <v>348</v>
      </c>
      <c r="C5068">
        <v>62</v>
      </c>
      <c r="D5068" t="s">
        <v>201</v>
      </c>
      <c r="E5068">
        <v>2633</v>
      </c>
      <c r="F5068" s="1">
        <v>5.3600000000000002E-2</v>
      </c>
      <c r="G5068" s="1">
        <v>8.72E-2</v>
      </c>
      <c r="H5068" s="1">
        <v>0.67889999999999995</v>
      </c>
      <c r="J5068" s="1">
        <v>0.18029999999999999</v>
      </c>
    </row>
    <row r="5069" spans="1:10" x14ac:dyDescent="0.25">
      <c r="A5069" t="s">
        <v>198</v>
      </c>
      <c r="B5069" t="s">
        <v>348</v>
      </c>
      <c r="C5069">
        <v>96</v>
      </c>
      <c r="D5069" t="s">
        <v>202</v>
      </c>
      <c r="E5069">
        <v>2633</v>
      </c>
      <c r="G5069" s="1">
        <v>0.1331</v>
      </c>
      <c r="H5069" s="1">
        <v>0.63249999999999995</v>
      </c>
      <c r="I5069" s="1">
        <v>2.52E-2</v>
      </c>
      <c r="J5069" s="1">
        <v>0.20910000000000001</v>
      </c>
    </row>
    <row r="5070" spans="1:10" x14ac:dyDescent="0.25">
      <c r="A5070" t="s">
        <v>203</v>
      </c>
      <c r="B5070" t="s">
        <v>349</v>
      </c>
      <c r="C5070">
        <v>171</v>
      </c>
      <c r="D5070" t="s">
        <v>199</v>
      </c>
      <c r="E5070">
        <v>2633</v>
      </c>
      <c r="G5070" s="1">
        <v>5.1200000000000002E-2</v>
      </c>
      <c r="H5070" s="1">
        <v>0.72460000000000002</v>
      </c>
      <c r="I5070" s="1">
        <v>2.8E-3</v>
      </c>
      <c r="J5070" s="1">
        <v>0.22140000000000001</v>
      </c>
    </row>
    <row r="5071" spans="1:10" x14ac:dyDescent="0.25">
      <c r="A5071" t="s">
        <v>203</v>
      </c>
      <c r="B5071" t="s">
        <v>348</v>
      </c>
      <c r="C5071">
        <v>42</v>
      </c>
      <c r="D5071" t="s">
        <v>199</v>
      </c>
      <c r="E5071">
        <v>2633</v>
      </c>
      <c r="G5071" s="1">
        <v>3.6799999999999999E-2</v>
      </c>
      <c r="H5071" s="1">
        <v>0.74729999999999996</v>
      </c>
      <c r="J5071" s="1">
        <v>0.21590000000000001</v>
      </c>
    </row>
    <row r="5072" spans="1:10" x14ac:dyDescent="0.25">
      <c r="A5072" t="s">
        <v>203</v>
      </c>
      <c r="B5072" t="s">
        <v>350</v>
      </c>
      <c r="C5072">
        <v>307</v>
      </c>
      <c r="D5072" t="s">
        <v>199</v>
      </c>
      <c r="E5072">
        <v>2633</v>
      </c>
      <c r="F5072" s="1">
        <v>1E-3</v>
      </c>
      <c r="G5072" s="1">
        <v>5.8299999999999998E-2</v>
      </c>
      <c r="H5072" s="1">
        <v>0.71379999999999999</v>
      </c>
      <c r="I5072" s="1">
        <v>8.9999999999999998E-4</v>
      </c>
      <c r="J5072" s="1">
        <v>0.2261</v>
      </c>
    </row>
    <row r="5073" spans="1:10" x14ac:dyDescent="0.25">
      <c r="A5073" t="s">
        <v>203</v>
      </c>
      <c r="B5073" t="s">
        <v>348</v>
      </c>
      <c r="C5073">
        <v>300</v>
      </c>
      <c r="D5073" t="s">
        <v>200</v>
      </c>
      <c r="E5073">
        <v>2633</v>
      </c>
      <c r="G5073" s="1">
        <v>4.0500000000000001E-2</v>
      </c>
      <c r="H5073" s="1">
        <v>0.63070000000000004</v>
      </c>
      <c r="I5073" s="1">
        <v>1.03E-2</v>
      </c>
      <c r="J5073" s="1">
        <v>0.31840000000000002</v>
      </c>
    </row>
    <row r="5074" spans="1:10" x14ac:dyDescent="0.25">
      <c r="A5074" t="s">
        <v>203</v>
      </c>
      <c r="B5074" t="s">
        <v>349</v>
      </c>
      <c r="C5074">
        <v>108</v>
      </c>
      <c r="D5074" t="s">
        <v>200</v>
      </c>
      <c r="E5074">
        <v>2633</v>
      </c>
      <c r="G5074" s="1">
        <v>0.15809999999999999</v>
      </c>
      <c r="H5074" s="1">
        <v>0.47870000000000001</v>
      </c>
      <c r="J5074" s="1">
        <v>0.36320000000000002</v>
      </c>
    </row>
    <row r="5075" spans="1:10" x14ac:dyDescent="0.25">
      <c r="A5075" t="s">
        <v>203</v>
      </c>
      <c r="B5075" t="s">
        <v>350</v>
      </c>
      <c r="C5075">
        <v>94</v>
      </c>
      <c r="D5075" t="s">
        <v>200</v>
      </c>
      <c r="E5075">
        <v>2633</v>
      </c>
      <c r="G5075" s="1">
        <v>3.6600000000000001E-2</v>
      </c>
      <c r="H5075" s="1">
        <v>0.55420000000000003</v>
      </c>
      <c r="J5075" s="1">
        <v>0.40920000000000001</v>
      </c>
    </row>
    <row r="5076" spans="1:10" x14ac:dyDescent="0.25">
      <c r="A5076" t="s">
        <v>203</v>
      </c>
      <c r="B5076" t="s">
        <v>348</v>
      </c>
      <c r="C5076">
        <v>62</v>
      </c>
      <c r="D5076" t="s">
        <v>201</v>
      </c>
      <c r="E5076">
        <v>2633</v>
      </c>
      <c r="G5076" s="1">
        <v>0.128</v>
      </c>
      <c r="H5076" s="1">
        <v>0.58560000000000001</v>
      </c>
      <c r="J5076" s="1">
        <v>0.28649999999999998</v>
      </c>
    </row>
    <row r="5077" spans="1:10" x14ac:dyDescent="0.25">
      <c r="A5077" t="s">
        <v>203</v>
      </c>
      <c r="B5077" t="s">
        <v>349</v>
      </c>
      <c r="C5077">
        <v>147</v>
      </c>
      <c r="D5077" t="s">
        <v>201</v>
      </c>
      <c r="E5077">
        <v>2633</v>
      </c>
      <c r="G5077" s="1">
        <v>6.1699999999999998E-2</v>
      </c>
      <c r="H5077" s="1">
        <v>0.43230000000000002</v>
      </c>
      <c r="J5077" s="1">
        <v>0.50600000000000001</v>
      </c>
    </row>
    <row r="5078" spans="1:10" x14ac:dyDescent="0.25">
      <c r="A5078" t="s">
        <v>203</v>
      </c>
      <c r="B5078" t="s">
        <v>350</v>
      </c>
      <c r="C5078">
        <v>105</v>
      </c>
      <c r="D5078" t="s">
        <v>201</v>
      </c>
      <c r="E5078">
        <v>2633</v>
      </c>
      <c r="F5078" s="1">
        <v>2.8E-3</v>
      </c>
      <c r="G5078" s="1">
        <v>0.13039999999999999</v>
      </c>
      <c r="H5078" s="1">
        <v>0.60350000000000004</v>
      </c>
      <c r="I5078" s="1">
        <v>2.8E-3</v>
      </c>
      <c r="J5078" s="1">
        <v>0.2606</v>
      </c>
    </row>
    <row r="5079" spans="1:10" x14ac:dyDescent="0.25">
      <c r="A5079" t="s">
        <v>203</v>
      </c>
      <c r="B5079" t="s">
        <v>348</v>
      </c>
      <c r="C5079">
        <v>90</v>
      </c>
      <c r="D5079" t="s">
        <v>202</v>
      </c>
      <c r="E5079">
        <v>2633</v>
      </c>
      <c r="F5079" s="1">
        <v>5.8999999999999999E-3</v>
      </c>
      <c r="G5079" s="1">
        <v>8.6199999999999999E-2</v>
      </c>
      <c r="H5079" s="1">
        <v>0.68010000000000004</v>
      </c>
      <c r="I5079" s="1">
        <v>1.09E-2</v>
      </c>
      <c r="J5079" s="1">
        <v>0.21690000000000001</v>
      </c>
    </row>
    <row r="5080" spans="1:10" x14ac:dyDescent="0.25">
      <c r="A5080" t="s">
        <v>204</v>
      </c>
      <c r="B5080" t="s">
        <v>204</v>
      </c>
      <c r="C5080">
        <v>2633</v>
      </c>
      <c r="D5080" t="s">
        <v>204</v>
      </c>
      <c r="E5080">
        <v>2633</v>
      </c>
      <c r="F5080" s="1">
        <v>3.5000000000000001E-3</v>
      </c>
      <c r="G5080" s="1">
        <v>8.2199999999999995E-2</v>
      </c>
      <c r="H5080" s="1">
        <v>0.64149999999999996</v>
      </c>
      <c r="I5080" s="1">
        <v>6.0000000000000001E-3</v>
      </c>
      <c r="J5080" s="1">
        <v>0.26679999999999998</v>
      </c>
    </row>
    <row r="5082" spans="1:10" x14ac:dyDescent="0.25">
      <c r="A5082" t="s">
        <v>1055</v>
      </c>
    </row>
    <row r="5083" spans="1:10" x14ac:dyDescent="0.25">
      <c r="A5083" t="s">
        <v>189</v>
      </c>
      <c r="B5083" t="s">
        <v>190</v>
      </c>
      <c r="C5083" t="s">
        <v>191</v>
      </c>
      <c r="D5083" t="s">
        <v>192</v>
      </c>
      <c r="E5083" t="s">
        <v>193</v>
      </c>
      <c r="F5083" t="s">
        <v>194</v>
      </c>
      <c r="G5083" t="s">
        <v>195</v>
      </c>
      <c r="H5083" t="s">
        <v>196</v>
      </c>
    </row>
    <row r="5084" spans="1:10" x14ac:dyDescent="0.25">
      <c r="A5084" t="s">
        <v>197</v>
      </c>
      <c r="B5084" t="s">
        <v>198</v>
      </c>
      <c r="C5084">
        <v>0.26177796699875988</v>
      </c>
      <c r="D5084">
        <v>0</v>
      </c>
      <c r="E5084">
        <v>0</v>
      </c>
      <c r="F5084">
        <v>14</v>
      </c>
      <c r="G5084">
        <v>81</v>
      </c>
      <c r="H5084">
        <v>2394</v>
      </c>
    </row>
    <row r="5085" spans="1:10" x14ac:dyDescent="0.25">
      <c r="A5085" t="s">
        <v>199</v>
      </c>
      <c r="B5085" t="s">
        <v>198</v>
      </c>
      <c r="C5085">
        <v>5.1284686903077539E-2</v>
      </c>
      <c r="D5085">
        <v>0</v>
      </c>
      <c r="E5085">
        <v>0</v>
      </c>
      <c r="F5085">
        <v>7</v>
      </c>
      <c r="G5085">
        <v>322</v>
      </c>
      <c r="H5085">
        <v>2394</v>
      </c>
    </row>
    <row r="5086" spans="1:10" x14ac:dyDescent="0.25">
      <c r="A5086" t="s">
        <v>200</v>
      </c>
      <c r="B5086" t="s">
        <v>198</v>
      </c>
      <c r="C5086">
        <v>0.1609318957363097</v>
      </c>
      <c r="D5086">
        <v>0</v>
      </c>
      <c r="E5086">
        <v>0</v>
      </c>
      <c r="F5086">
        <v>14</v>
      </c>
      <c r="G5086">
        <v>348</v>
      </c>
      <c r="H5086">
        <v>2394</v>
      </c>
    </row>
    <row r="5087" spans="1:10" x14ac:dyDescent="0.25">
      <c r="A5087" t="s">
        <v>201</v>
      </c>
      <c r="B5087" t="s">
        <v>198</v>
      </c>
      <c r="C5087">
        <v>0.49411438794759288</v>
      </c>
      <c r="D5087">
        <v>0</v>
      </c>
      <c r="E5087">
        <v>0</v>
      </c>
      <c r="F5087">
        <v>15</v>
      </c>
      <c r="G5087">
        <v>231</v>
      </c>
      <c r="H5087">
        <v>2394</v>
      </c>
    </row>
    <row r="5088" spans="1:10" x14ac:dyDescent="0.25">
      <c r="A5088" t="s">
        <v>202</v>
      </c>
      <c r="B5088" t="s">
        <v>198</v>
      </c>
      <c r="C5088">
        <v>0.32554931956156141</v>
      </c>
      <c r="D5088">
        <v>0</v>
      </c>
      <c r="E5088">
        <v>0</v>
      </c>
      <c r="F5088">
        <v>15</v>
      </c>
      <c r="G5088">
        <v>89</v>
      </c>
      <c r="H5088">
        <v>2394</v>
      </c>
    </row>
    <row r="5089" spans="1:10" x14ac:dyDescent="0.25">
      <c r="A5089" t="s">
        <v>199</v>
      </c>
      <c r="B5089" t="s">
        <v>203</v>
      </c>
      <c r="C5089">
        <v>6.3153475306091528E-2</v>
      </c>
      <c r="D5089">
        <v>0</v>
      </c>
      <c r="E5089">
        <v>0</v>
      </c>
      <c r="F5089">
        <v>30</v>
      </c>
      <c r="G5089">
        <v>466</v>
      </c>
      <c r="H5089">
        <v>2394</v>
      </c>
    </row>
    <row r="5090" spans="1:10" x14ac:dyDescent="0.25">
      <c r="A5090" t="s">
        <v>200</v>
      </c>
      <c r="B5090" t="s">
        <v>203</v>
      </c>
      <c r="C5090">
        <v>4.2065956055012441E-2</v>
      </c>
      <c r="D5090">
        <v>0</v>
      </c>
      <c r="E5090">
        <v>0</v>
      </c>
      <c r="F5090">
        <v>30</v>
      </c>
      <c r="G5090">
        <v>481</v>
      </c>
      <c r="H5090">
        <v>2394</v>
      </c>
    </row>
    <row r="5091" spans="1:10" x14ac:dyDescent="0.25">
      <c r="A5091" t="s">
        <v>201</v>
      </c>
      <c r="B5091" t="s">
        <v>203</v>
      </c>
      <c r="C5091">
        <v>0.1225697919779061</v>
      </c>
      <c r="D5091">
        <v>0</v>
      </c>
      <c r="E5091">
        <v>0</v>
      </c>
      <c r="F5091">
        <v>25</v>
      </c>
      <c r="G5091">
        <v>286</v>
      </c>
      <c r="H5091">
        <v>2394</v>
      </c>
    </row>
    <row r="5092" spans="1:10" x14ac:dyDescent="0.25">
      <c r="A5092" t="s">
        <v>202</v>
      </c>
      <c r="B5092" t="s">
        <v>203</v>
      </c>
      <c r="C5092">
        <v>0.17153299559037391</v>
      </c>
      <c r="D5092">
        <v>0</v>
      </c>
      <c r="E5092">
        <v>0</v>
      </c>
      <c r="F5092">
        <v>7</v>
      </c>
      <c r="G5092">
        <v>90</v>
      </c>
      <c r="H5092">
        <v>2394</v>
      </c>
    </row>
    <row r="5093" spans="1:10" x14ac:dyDescent="0.25">
      <c r="A5093" t="s">
        <v>204</v>
      </c>
      <c r="B5093" t="s">
        <v>204</v>
      </c>
      <c r="C5093">
        <v>0.1319971655147395</v>
      </c>
      <c r="D5093">
        <v>0</v>
      </c>
      <c r="E5093">
        <v>0</v>
      </c>
      <c r="F5093">
        <v>30</v>
      </c>
      <c r="G5093">
        <v>2394</v>
      </c>
      <c r="H5093">
        <v>2394</v>
      </c>
    </row>
    <row r="5095" spans="1:10" x14ac:dyDescent="0.25">
      <c r="A5095" t="s">
        <v>1056</v>
      </c>
    </row>
    <row r="5096" spans="1:10" x14ac:dyDescent="0.25">
      <c r="A5096" t="s">
        <v>189</v>
      </c>
      <c r="B5096" t="s">
        <v>190</v>
      </c>
      <c r="C5096" t="s">
        <v>206</v>
      </c>
      <c r="D5096" t="s">
        <v>529</v>
      </c>
      <c r="E5096" t="s">
        <v>191</v>
      </c>
      <c r="F5096" t="s">
        <v>192</v>
      </c>
      <c r="G5096" t="s">
        <v>193</v>
      </c>
      <c r="H5096" t="s">
        <v>194</v>
      </c>
      <c r="I5096" t="s">
        <v>195</v>
      </c>
      <c r="J5096" t="s">
        <v>196</v>
      </c>
    </row>
    <row r="5097" spans="1:10" x14ac:dyDescent="0.25">
      <c r="A5097" t="s">
        <v>197</v>
      </c>
      <c r="B5097" t="s">
        <v>198</v>
      </c>
      <c r="C5097" t="s">
        <v>228</v>
      </c>
      <c r="D5097" t="s">
        <v>530</v>
      </c>
      <c r="E5097">
        <v>0.42043848558976282</v>
      </c>
      <c r="F5097">
        <v>0</v>
      </c>
      <c r="G5097">
        <v>0</v>
      </c>
      <c r="H5097">
        <v>14</v>
      </c>
      <c r="I5097">
        <v>32</v>
      </c>
      <c r="J5097">
        <v>2394</v>
      </c>
    </row>
    <row r="5098" spans="1:10" x14ac:dyDescent="0.25">
      <c r="A5098" t="s">
        <v>197</v>
      </c>
      <c r="B5098" t="s">
        <v>198</v>
      </c>
      <c r="C5098" t="s">
        <v>229</v>
      </c>
      <c r="D5098" t="s">
        <v>530</v>
      </c>
      <c r="E5098">
        <v>0.1442415472245378</v>
      </c>
      <c r="F5098">
        <v>0</v>
      </c>
      <c r="G5098">
        <v>0</v>
      </c>
      <c r="H5098">
        <v>5</v>
      </c>
      <c r="I5098">
        <v>49</v>
      </c>
      <c r="J5098">
        <v>2394</v>
      </c>
    </row>
    <row r="5099" spans="1:10" x14ac:dyDescent="0.25">
      <c r="A5099" t="s">
        <v>199</v>
      </c>
      <c r="B5099" t="s">
        <v>198</v>
      </c>
      <c r="C5099" t="s">
        <v>228</v>
      </c>
      <c r="D5099" t="s">
        <v>530</v>
      </c>
      <c r="E5099">
        <v>0.1154269475437512</v>
      </c>
      <c r="F5099">
        <v>0</v>
      </c>
      <c r="G5099">
        <v>0</v>
      </c>
      <c r="H5099">
        <v>7</v>
      </c>
      <c r="I5099">
        <v>127</v>
      </c>
      <c r="J5099">
        <v>2394</v>
      </c>
    </row>
    <row r="5100" spans="1:10" x14ac:dyDescent="0.25">
      <c r="A5100" t="s">
        <v>199</v>
      </c>
      <c r="B5100" t="s">
        <v>198</v>
      </c>
      <c r="C5100" t="s">
        <v>229</v>
      </c>
      <c r="D5100" t="s">
        <v>530</v>
      </c>
      <c r="E5100">
        <v>2.9499400688017301E-2</v>
      </c>
      <c r="F5100">
        <v>0</v>
      </c>
      <c r="G5100">
        <v>0</v>
      </c>
      <c r="H5100">
        <v>5</v>
      </c>
      <c r="I5100">
        <v>186</v>
      </c>
      <c r="J5100">
        <v>2394</v>
      </c>
    </row>
    <row r="5101" spans="1:10" x14ac:dyDescent="0.25">
      <c r="A5101" t="s">
        <v>200</v>
      </c>
      <c r="B5101" t="s">
        <v>198</v>
      </c>
      <c r="C5101" t="s">
        <v>228</v>
      </c>
      <c r="D5101" t="s">
        <v>530</v>
      </c>
      <c r="E5101">
        <v>9.3423317618004209E-2</v>
      </c>
      <c r="F5101">
        <v>0</v>
      </c>
      <c r="G5101">
        <v>0</v>
      </c>
      <c r="H5101">
        <v>7</v>
      </c>
      <c r="I5101">
        <v>104</v>
      </c>
      <c r="J5101">
        <v>2394</v>
      </c>
    </row>
    <row r="5102" spans="1:10" x14ac:dyDescent="0.25">
      <c r="A5102" t="s">
        <v>200</v>
      </c>
      <c r="B5102" t="s">
        <v>198</v>
      </c>
      <c r="C5102" t="s">
        <v>229</v>
      </c>
      <c r="D5102" t="s">
        <v>530</v>
      </c>
      <c r="E5102">
        <v>0.18391770523541889</v>
      </c>
      <c r="F5102">
        <v>0</v>
      </c>
      <c r="G5102">
        <v>0</v>
      </c>
      <c r="H5102">
        <v>14</v>
      </c>
      <c r="I5102">
        <v>240</v>
      </c>
      <c r="J5102">
        <v>2394</v>
      </c>
    </row>
    <row r="5103" spans="1:10" x14ac:dyDescent="0.25">
      <c r="A5103" t="s">
        <v>201</v>
      </c>
      <c r="B5103" t="s">
        <v>198</v>
      </c>
      <c r="C5103" t="s">
        <v>228</v>
      </c>
      <c r="D5103" t="s">
        <v>530</v>
      </c>
      <c r="E5103">
        <v>0.23175151158505081</v>
      </c>
      <c r="F5103">
        <v>0</v>
      </c>
      <c r="G5103">
        <v>0</v>
      </c>
      <c r="H5103">
        <v>14</v>
      </c>
      <c r="I5103">
        <v>82</v>
      </c>
      <c r="J5103">
        <v>2394</v>
      </c>
    </row>
    <row r="5104" spans="1:10" x14ac:dyDescent="0.25">
      <c r="A5104" t="s">
        <v>201</v>
      </c>
      <c r="B5104" t="s">
        <v>198</v>
      </c>
      <c r="C5104" t="s">
        <v>229</v>
      </c>
      <c r="D5104" t="s">
        <v>530</v>
      </c>
      <c r="E5104">
        <v>0.56471674640640435</v>
      </c>
      <c r="F5104">
        <v>0</v>
      </c>
      <c r="G5104">
        <v>0</v>
      </c>
      <c r="H5104">
        <v>15</v>
      </c>
      <c r="I5104">
        <v>144</v>
      </c>
      <c r="J5104">
        <v>2394</v>
      </c>
    </row>
    <row r="5105" spans="1:10" s="29" customFormat="1" x14ac:dyDescent="0.25">
      <c r="A5105" s="29" t="s">
        <v>202</v>
      </c>
      <c r="B5105" s="29" t="s">
        <v>198</v>
      </c>
      <c r="C5105" s="29" t="s">
        <v>228</v>
      </c>
      <c r="D5105" s="29" t="s">
        <v>530</v>
      </c>
      <c r="E5105" s="29">
        <v>0.32113810561901251</v>
      </c>
      <c r="F5105" s="29">
        <v>0</v>
      </c>
      <c r="G5105" s="29">
        <v>0</v>
      </c>
      <c r="H5105" s="29">
        <v>5</v>
      </c>
      <c r="I5105" s="29">
        <v>25</v>
      </c>
      <c r="J5105" s="29">
        <v>2394</v>
      </c>
    </row>
    <row r="5106" spans="1:10" x14ac:dyDescent="0.25">
      <c r="A5106" t="s">
        <v>202</v>
      </c>
      <c r="B5106" t="s">
        <v>198</v>
      </c>
      <c r="C5106" t="s">
        <v>229</v>
      </c>
      <c r="D5106" t="s">
        <v>530</v>
      </c>
      <c r="E5106">
        <v>0.32690207590839993</v>
      </c>
      <c r="F5106">
        <v>0</v>
      </c>
      <c r="G5106">
        <v>0</v>
      </c>
      <c r="H5106">
        <v>15</v>
      </c>
      <c r="I5106">
        <v>64</v>
      </c>
      <c r="J5106">
        <v>2394</v>
      </c>
    </row>
    <row r="5107" spans="1:10" x14ac:dyDescent="0.25">
      <c r="A5107" t="s">
        <v>199</v>
      </c>
      <c r="B5107" t="s">
        <v>203</v>
      </c>
      <c r="C5107" t="s">
        <v>228</v>
      </c>
      <c r="D5107" t="s">
        <v>530</v>
      </c>
      <c r="E5107">
        <v>0.15254294463365001</v>
      </c>
      <c r="F5107">
        <v>0</v>
      </c>
      <c r="G5107">
        <v>0</v>
      </c>
      <c r="H5107">
        <v>8</v>
      </c>
      <c r="I5107">
        <v>136</v>
      </c>
      <c r="J5107">
        <v>2394</v>
      </c>
    </row>
    <row r="5108" spans="1:10" x14ac:dyDescent="0.25">
      <c r="A5108" t="s">
        <v>199</v>
      </c>
      <c r="B5108" t="s">
        <v>203</v>
      </c>
      <c r="C5108" t="s">
        <v>229</v>
      </c>
      <c r="D5108" t="s">
        <v>530</v>
      </c>
      <c r="E5108">
        <v>5.3094781169894217E-2</v>
      </c>
      <c r="F5108">
        <v>0</v>
      </c>
      <c r="G5108">
        <v>0</v>
      </c>
      <c r="H5108">
        <v>30</v>
      </c>
      <c r="I5108">
        <v>323</v>
      </c>
      <c r="J5108">
        <v>2394</v>
      </c>
    </row>
    <row r="5109" spans="1:10" x14ac:dyDescent="0.25">
      <c r="A5109" t="s">
        <v>200</v>
      </c>
      <c r="B5109" t="s">
        <v>203</v>
      </c>
      <c r="C5109" t="s">
        <v>228</v>
      </c>
      <c r="D5109" t="s">
        <v>530</v>
      </c>
      <c r="E5109">
        <v>6.6345353710403801E-2</v>
      </c>
      <c r="F5109">
        <v>0</v>
      </c>
      <c r="G5109">
        <v>0</v>
      </c>
      <c r="H5109">
        <v>6</v>
      </c>
      <c r="I5109">
        <v>149</v>
      </c>
      <c r="J5109">
        <v>2394</v>
      </c>
    </row>
    <row r="5110" spans="1:10" x14ac:dyDescent="0.25">
      <c r="A5110" t="s">
        <v>200</v>
      </c>
      <c r="B5110" t="s">
        <v>203</v>
      </c>
      <c r="C5110" t="s">
        <v>229</v>
      </c>
      <c r="D5110" t="s">
        <v>530</v>
      </c>
      <c r="E5110">
        <v>3.6187440453450022E-2</v>
      </c>
      <c r="F5110">
        <v>0</v>
      </c>
      <c r="G5110">
        <v>0</v>
      </c>
      <c r="H5110">
        <v>30</v>
      </c>
      <c r="I5110">
        <v>331</v>
      </c>
      <c r="J5110">
        <v>2394</v>
      </c>
    </row>
    <row r="5111" spans="1:10" x14ac:dyDescent="0.25">
      <c r="A5111" t="s">
        <v>201</v>
      </c>
      <c r="B5111" t="s">
        <v>203</v>
      </c>
      <c r="C5111" t="s">
        <v>228</v>
      </c>
      <c r="D5111" t="s">
        <v>530</v>
      </c>
      <c r="E5111">
        <v>0.25528397136075709</v>
      </c>
      <c r="F5111">
        <v>0</v>
      </c>
      <c r="G5111">
        <v>0</v>
      </c>
      <c r="H5111">
        <v>25</v>
      </c>
      <c r="I5111">
        <v>160</v>
      </c>
      <c r="J5111">
        <v>2394</v>
      </c>
    </row>
    <row r="5112" spans="1:10" x14ac:dyDescent="0.25">
      <c r="A5112" t="s">
        <v>201</v>
      </c>
      <c r="B5112" t="s">
        <v>203</v>
      </c>
      <c r="C5112" t="s">
        <v>229</v>
      </c>
      <c r="D5112" t="s">
        <v>530</v>
      </c>
      <c r="E5112">
        <v>7.7297163728824697E-2</v>
      </c>
      <c r="F5112">
        <v>0</v>
      </c>
      <c r="G5112">
        <v>0</v>
      </c>
      <c r="H5112">
        <v>7</v>
      </c>
      <c r="I5112">
        <v>119</v>
      </c>
      <c r="J5112">
        <v>2394</v>
      </c>
    </row>
    <row r="5113" spans="1:10" x14ac:dyDescent="0.25">
      <c r="A5113" t="s">
        <v>202</v>
      </c>
      <c r="B5113" t="s">
        <v>203</v>
      </c>
      <c r="C5113" t="s">
        <v>228</v>
      </c>
      <c r="D5113" t="s">
        <v>530</v>
      </c>
      <c r="E5113">
        <v>1.3197907964226799E-2</v>
      </c>
      <c r="F5113">
        <v>0</v>
      </c>
      <c r="G5113">
        <v>0</v>
      </c>
      <c r="H5113">
        <v>1</v>
      </c>
      <c r="I5113">
        <v>34</v>
      </c>
      <c r="J5113">
        <v>2394</v>
      </c>
    </row>
    <row r="5114" spans="1:10" x14ac:dyDescent="0.25">
      <c r="A5114" t="s">
        <v>202</v>
      </c>
      <c r="B5114" t="s">
        <v>203</v>
      </c>
      <c r="C5114" t="s">
        <v>229</v>
      </c>
      <c r="D5114" t="s">
        <v>530</v>
      </c>
      <c r="E5114">
        <v>0.23393589340933491</v>
      </c>
      <c r="F5114">
        <v>0</v>
      </c>
      <c r="G5114">
        <v>0</v>
      </c>
      <c r="H5114">
        <v>7</v>
      </c>
      <c r="I5114">
        <v>56</v>
      </c>
      <c r="J5114">
        <v>2394</v>
      </c>
    </row>
    <row r="5115" spans="1:10" x14ac:dyDescent="0.25">
      <c r="A5115" t="s">
        <v>204</v>
      </c>
      <c r="B5115" t="s">
        <v>204</v>
      </c>
      <c r="C5115" t="s">
        <v>204</v>
      </c>
      <c r="D5115" t="s">
        <v>204</v>
      </c>
      <c r="E5115">
        <v>0.1319971655147395</v>
      </c>
      <c r="F5115">
        <v>0</v>
      </c>
      <c r="G5115">
        <v>0</v>
      </c>
      <c r="H5115">
        <v>30</v>
      </c>
      <c r="I5115">
        <v>2394</v>
      </c>
      <c r="J5115">
        <v>2394</v>
      </c>
    </row>
    <row r="5117" spans="1:10" x14ac:dyDescent="0.25">
      <c r="A5117" t="s">
        <v>1057</v>
      </c>
    </row>
    <row r="5118" spans="1:10" x14ac:dyDescent="0.25">
      <c r="A5118" t="s">
        <v>189</v>
      </c>
      <c r="B5118" t="s">
        <v>190</v>
      </c>
      <c r="C5118" t="s">
        <v>206</v>
      </c>
      <c r="D5118" t="s">
        <v>529</v>
      </c>
      <c r="E5118" t="s">
        <v>191</v>
      </c>
      <c r="F5118" t="s">
        <v>192</v>
      </c>
      <c r="G5118" t="s">
        <v>193</v>
      </c>
      <c r="H5118" t="s">
        <v>194</v>
      </c>
      <c r="I5118" t="s">
        <v>195</v>
      </c>
      <c r="J5118" t="s">
        <v>196</v>
      </c>
    </row>
    <row r="5119" spans="1:10" x14ac:dyDescent="0.25">
      <c r="A5119" t="s">
        <v>197</v>
      </c>
      <c r="B5119" t="s">
        <v>198</v>
      </c>
      <c r="C5119" t="s">
        <v>348</v>
      </c>
      <c r="D5119" t="s">
        <v>532</v>
      </c>
      <c r="E5119">
        <v>0.27084440643806951</v>
      </c>
      <c r="F5119">
        <v>0</v>
      </c>
      <c r="G5119">
        <v>0</v>
      </c>
      <c r="H5119">
        <v>14</v>
      </c>
      <c r="I5119">
        <v>78</v>
      </c>
      <c r="J5119">
        <v>2394</v>
      </c>
    </row>
    <row r="5120" spans="1:10" s="29" customFormat="1" x14ac:dyDescent="0.25">
      <c r="A5120" s="29" t="s">
        <v>197</v>
      </c>
      <c r="B5120" s="29" t="s">
        <v>198</v>
      </c>
      <c r="C5120" s="29" t="s">
        <v>349</v>
      </c>
      <c r="D5120" s="29" t="s">
        <v>532</v>
      </c>
      <c r="E5120" s="29">
        <v>0</v>
      </c>
      <c r="F5120" s="29">
        <v>0</v>
      </c>
      <c r="G5120" s="29">
        <v>0</v>
      </c>
      <c r="H5120" s="29">
        <v>0</v>
      </c>
      <c r="I5120" s="29">
        <v>3</v>
      </c>
      <c r="J5120" s="29">
        <v>2394</v>
      </c>
    </row>
    <row r="5121" spans="1:10" x14ac:dyDescent="0.25">
      <c r="A5121" t="s">
        <v>199</v>
      </c>
      <c r="B5121" t="s">
        <v>198</v>
      </c>
      <c r="C5121" t="s">
        <v>348</v>
      </c>
      <c r="D5121" t="s">
        <v>532</v>
      </c>
      <c r="E5121">
        <v>4.1661952200095033E-2</v>
      </c>
      <c r="F5121">
        <v>0</v>
      </c>
      <c r="G5121">
        <v>0</v>
      </c>
      <c r="H5121">
        <v>7</v>
      </c>
      <c r="I5121">
        <v>53</v>
      </c>
      <c r="J5121">
        <v>2394</v>
      </c>
    </row>
    <row r="5122" spans="1:10" x14ac:dyDescent="0.25">
      <c r="A5122" t="s">
        <v>199</v>
      </c>
      <c r="B5122" t="s">
        <v>198</v>
      </c>
      <c r="C5122" t="s">
        <v>349</v>
      </c>
      <c r="D5122" t="s">
        <v>532</v>
      </c>
      <c r="E5122">
        <v>1.9151460269438651E-2</v>
      </c>
      <c r="F5122">
        <v>0</v>
      </c>
      <c r="G5122">
        <v>0</v>
      </c>
      <c r="H5122">
        <v>3</v>
      </c>
      <c r="I5122">
        <v>101</v>
      </c>
      <c r="J5122">
        <v>2394</v>
      </c>
    </row>
    <row r="5123" spans="1:10" x14ac:dyDescent="0.25">
      <c r="A5123" t="s">
        <v>199</v>
      </c>
      <c r="B5123" t="s">
        <v>198</v>
      </c>
      <c r="C5123" t="s">
        <v>350</v>
      </c>
      <c r="D5123" t="s">
        <v>532</v>
      </c>
      <c r="E5123">
        <v>9.3095082165032678E-2</v>
      </c>
      <c r="F5123">
        <v>0</v>
      </c>
      <c r="G5123">
        <v>0</v>
      </c>
      <c r="H5123">
        <v>7</v>
      </c>
      <c r="I5123">
        <v>159</v>
      </c>
      <c r="J5123">
        <v>2394</v>
      </c>
    </row>
    <row r="5124" spans="1:10" x14ac:dyDescent="0.25">
      <c r="A5124" t="s">
        <v>200</v>
      </c>
      <c r="B5124" t="s">
        <v>198</v>
      </c>
      <c r="C5124" t="s">
        <v>348</v>
      </c>
      <c r="D5124" t="s">
        <v>532</v>
      </c>
      <c r="E5124">
        <v>0.13886260125281111</v>
      </c>
      <c r="F5124">
        <v>0</v>
      </c>
      <c r="G5124">
        <v>0</v>
      </c>
      <c r="H5124">
        <v>14</v>
      </c>
      <c r="I5124">
        <v>221</v>
      </c>
      <c r="J5124">
        <v>2394</v>
      </c>
    </row>
    <row r="5125" spans="1:10" x14ac:dyDescent="0.25">
      <c r="A5125" t="s">
        <v>200</v>
      </c>
      <c r="B5125" t="s">
        <v>198</v>
      </c>
      <c r="C5125" t="s">
        <v>349</v>
      </c>
      <c r="D5125" t="s">
        <v>532</v>
      </c>
      <c r="E5125">
        <v>7.4941813352675954E-2</v>
      </c>
      <c r="F5125">
        <v>0</v>
      </c>
      <c r="G5125">
        <v>0</v>
      </c>
      <c r="H5125">
        <v>5</v>
      </c>
      <c r="I5125">
        <v>61</v>
      </c>
      <c r="J5125">
        <v>2394</v>
      </c>
    </row>
    <row r="5126" spans="1:10" x14ac:dyDescent="0.25">
      <c r="A5126" t="s">
        <v>200</v>
      </c>
      <c r="B5126" t="s">
        <v>198</v>
      </c>
      <c r="C5126" t="s">
        <v>350</v>
      </c>
      <c r="D5126" t="s">
        <v>532</v>
      </c>
      <c r="E5126">
        <v>0.57583499463676324</v>
      </c>
      <c r="F5126">
        <v>0</v>
      </c>
      <c r="G5126">
        <v>0</v>
      </c>
      <c r="H5126">
        <v>7</v>
      </c>
      <c r="I5126">
        <v>62</v>
      </c>
      <c r="J5126">
        <v>2394</v>
      </c>
    </row>
    <row r="5127" spans="1:10" x14ac:dyDescent="0.25">
      <c r="A5127" t="s">
        <v>201</v>
      </c>
      <c r="B5127" t="s">
        <v>198</v>
      </c>
      <c r="C5127" t="s">
        <v>348</v>
      </c>
      <c r="D5127" t="s">
        <v>532</v>
      </c>
      <c r="E5127">
        <v>0.93008720069091011</v>
      </c>
      <c r="F5127">
        <v>0</v>
      </c>
      <c r="G5127">
        <v>0</v>
      </c>
      <c r="H5127">
        <v>15</v>
      </c>
      <c r="I5127">
        <v>55</v>
      </c>
      <c r="J5127">
        <v>2394</v>
      </c>
    </row>
    <row r="5128" spans="1:10" x14ac:dyDescent="0.25">
      <c r="A5128" t="s">
        <v>201</v>
      </c>
      <c r="B5128" t="s">
        <v>198</v>
      </c>
      <c r="C5128" t="s">
        <v>349</v>
      </c>
      <c r="D5128" t="s">
        <v>532</v>
      </c>
      <c r="E5128">
        <v>0.35990774674318787</v>
      </c>
      <c r="F5128">
        <v>0</v>
      </c>
      <c r="G5128">
        <v>0</v>
      </c>
      <c r="H5128">
        <v>14</v>
      </c>
      <c r="I5128">
        <v>117</v>
      </c>
      <c r="J5128">
        <v>2394</v>
      </c>
    </row>
    <row r="5129" spans="1:10" x14ac:dyDescent="0.25">
      <c r="A5129" t="s">
        <v>201</v>
      </c>
      <c r="B5129" t="s">
        <v>198</v>
      </c>
      <c r="C5129" t="s">
        <v>350</v>
      </c>
      <c r="D5129" t="s">
        <v>532</v>
      </c>
      <c r="E5129">
        <v>0.38014789041739311</v>
      </c>
      <c r="F5129">
        <v>0</v>
      </c>
      <c r="G5129">
        <v>0</v>
      </c>
      <c r="H5129">
        <v>14</v>
      </c>
      <c r="I5129">
        <v>54</v>
      </c>
      <c r="J5129">
        <v>2394</v>
      </c>
    </row>
    <row r="5130" spans="1:10" x14ac:dyDescent="0.25">
      <c r="A5130" t="s">
        <v>202</v>
      </c>
      <c r="B5130" t="s">
        <v>198</v>
      </c>
      <c r="C5130" t="s">
        <v>348</v>
      </c>
      <c r="D5130" t="s">
        <v>532</v>
      </c>
      <c r="E5130">
        <v>0.32554931956156141</v>
      </c>
      <c r="F5130">
        <v>0</v>
      </c>
      <c r="G5130">
        <v>0</v>
      </c>
      <c r="H5130">
        <v>15</v>
      </c>
      <c r="I5130">
        <v>89</v>
      </c>
      <c r="J5130">
        <v>2394</v>
      </c>
    </row>
    <row r="5131" spans="1:10" x14ac:dyDescent="0.25">
      <c r="A5131" t="s">
        <v>199</v>
      </c>
      <c r="B5131" t="s">
        <v>203</v>
      </c>
      <c r="C5131" t="s">
        <v>348</v>
      </c>
      <c r="D5131" t="s">
        <v>532</v>
      </c>
      <c r="E5131">
        <v>1.0144062423312601E-2</v>
      </c>
      <c r="F5131">
        <v>0</v>
      </c>
      <c r="G5131">
        <v>0</v>
      </c>
      <c r="H5131">
        <v>2</v>
      </c>
      <c r="I5131">
        <v>42</v>
      </c>
      <c r="J5131">
        <v>2394</v>
      </c>
    </row>
    <row r="5132" spans="1:10" x14ac:dyDescent="0.25">
      <c r="A5132" t="s">
        <v>199</v>
      </c>
      <c r="B5132" t="s">
        <v>203</v>
      </c>
      <c r="C5132" t="s">
        <v>349</v>
      </c>
      <c r="D5132" t="s">
        <v>532</v>
      </c>
      <c r="E5132">
        <v>5.0759440077357082E-2</v>
      </c>
      <c r="F5132">
        <v>0</v>
      </c>
      <c r="G5132">
        <v>0</v>
      </c>
      <c r="H5132">
        <v>7</v>
      </c>
      <c r="I5132">
        <v>156</v>
      </c>
      <c r="J5132">
        <v>2394</v>
      </c>
    </row>
    <row r="5133" spans="1:10" x14ac:dyDescent="0.25">
      <c r="A5133" t="s">
        <v>199</v>
      </c>
      <c r="B5133" t="s">
        <v>203</v>
      </c>
      <c r="C5133" t="s">
        <v>350</v>
      </c>
      <c r="D5133" t="s">
        <v>532</v>
      </c>
      <c r="E5133">
        <v>7.3519746644985076E-2</v>
      </c>
      <c r="F5133">
        <v>0</v>
      </c>
      <c r="G5133">
        <v>0</v>
      </c>
      <c r="H5133">
        <v>30</v>
      </c>
      <c r="I5133">
        <v>261</v>
      </c>
      <c r="J5133">
        <v>2394</v>
      </c>
    </row>
    <row r="5134" spans="1:10" x14ac:dyDescent="0.25">
      <c r="A5134" t="s">
        <v>200</v>
      </c>
      <c r="B5134" t="s">
        <v>203</v>
      </c>
      <c r="C5134" t="s">
        <v>348</v>
      </c>
      <c r="D5134" t="s">
        <v>532</v>
      </c>
      <c r="E5134">
        <v>3.3007268802431301E-2</v>
      </c>
      <c r="F5134">
        <v>0</v>
      </c>
      <c r="G5134">
        <v>0</v>
      </c>
      <c r="H5134">
        <v>6</v>
      </c>
      <c r="I5134">
        <v>297</v>
      </c>
      <c r="J5134">
        <v>2394</v>
      </c>
    </row>
    <row r="5135" spans="1:10" x14ac:dyDescent="0.25">
      <c r="A5135" t="s">
        <v>200</v>
      </c>
      <c r="B5135" t="s">
        <v>203</v>
      </c>
      <c r="C5135" t="s">
        <v>349</v>
      </c>
      <c r="D5135" t="s">
        <v>532</v>
      </c>
      <c r="E5135">
        <v>7.3278729244078245E-2</v>
      </c>
      <c r="F5135">
        <v>0</v>
      </c>
      <c r="G5135">
        <v>0</v>
      </c>
      <c r="H5135">
        <v>3</v>
      </c>
      <c r="I5135">
        <v>102</v>
      </c>
      <c r="J5135">
        <v>2394</v>
      </c>
    </row>
    <row r="5136" spans="1:10" x14ac:dyDescent="0.25">
      <c r="A5136" t="s">
        <v>200</v>
      </c>
      <c r="B5136" t="s">
        <v>203</v>
      </c>
      <c r="C5136" t="s">
        <v>350</v>
      </c>
      <c r="D5136" t="s">
        <v>532</v>
      </c>
      <c r="E5136">
        <v>0.2360116977554142</v>
      </c>
      <c r="F5136">
        <v>0</v>
      </c>
      <c r="G5136">
        <v>0</v>
      </c>
      <c r="H5136">
        <v>30</v>
      </c>
      <c r="I5136">
        <v>81</v>
      </c>
      <c r="J5136">
        <v>2394</v>
      </c>
    </row>
    <row r="5137" spans="1:22" x14ac:dyDescent="0.25">
      <c r="A5137" t="s">
        <v>201</v>
      </c>
      <c r="B5137" t="s">
        <v>203</v>
      </c>
      <c r="C5137" t="s">
        <v>348</v>
      </c>
      <c r="D5137" t="s">
        <v>532</v>
      </c>
      <c r="E5137">
        <v>0.33813269468808171</v>
      </c>
      <c r="F5137">
        <v>0</v>
      </c>
      <c r="G5137">
        <v>0</v>
      </c>
      <c r="H5137">
        <v>7</v>
      </c>
      <c r="I5137">
        <v>53</v>
      </c>
      <c r="J5137">
        <v>2394</v>
      </c>
    </row>
    <row r="5138" spans="1:22" x14ac:dyDescent="0.25">
      <c r="A5138" t="s">
        <v>201</v>
      </c>
      <c r="B5138" t="s">
        <v>203</v>
      </c>
      <c r="C5138" t="s">
        <v>349</v>
      </c>
      <c r="D5138" t="s">
        <v>532</v>
      </c>
      <c r="E5138">
        <v>6.5904998620118879E-2</v>
      </c>
      <c r="F5138">
        <v>0</v>
      </c>
      <c r="G5138">
        <v>0</v>
      </c>
      <c r="H5138">
        <v>25</v>
      </c>
      <c r="I5138">
        <v>138</v>
      </c>
      <c r="J5138">
        <v>2394</v>
      </c>
    </row>
    <row r="5139" spans="1:22" x14ac:dyDescent="0.25">
      <c r="A5139" t="s">
        <v>201</v>
      </c>
      <c r="B5139" t="s">
        <v>203</v>
      </c>
      <c r="C5139" t="s">
        <v>350</v>
      </c>
      <c r="D5139" t="s">
        <v>532</v>
      </c>
      <c r="E5139">
        <v>0.47537297873879958</v>
      </c>
      <c r="F5139">
        <v>0</v>
      </c>
      <c r="G5139">
        <v>0</v>
      </c>
      <c r="H5139">
        <v>14</v>
      </c>
      <c r="I5139">
        <v>88</v>
      </c>
      <c r="J5139">
        <v>2394</v>
      </c>
    </row>
    <row r="5140" spans="1:22" x14ac:dyDescent="0.25">
      <c r="A5140" t="s">
        <v>202</v>
      </c>
      <c r="B5140" t="s">
        <v>203</v>
      </c>
      <c r="C5140" t="s">
        <v>348</v>
      </c>
      <c r="D5140" t="s">
        <v>532</v>
      </c>
      <c r="E5140">
        <v>0.17153299559037391</v>
      </c>
      <c r="F5140">
        <v>0</v>
      </c>
      <c r="G5140">
        <v>0</v>
      </c>
      <c r="H5140">
        <v>7</v>
      </c>
      <c r="I5140">
        <v>90</v>
      </c>
      <c r="J5140">
        <v>2394</v>
      </c>
    </row>
    <row r="5141" spans="1:22" x14ac:dyDescent="0.25">
      <c r="A5141" t="s">
        <v>204</v>
      </c>
      <c r="B5141" t="s">
        <v>204</v>
      </c>
      <c r="C5141" t="s">
        <v>204</v>
      </c>
      <c r="D5141" t="s">
        <v>204</v>
      </c>
      <c r="E5141">
        <v>0.1319971655147395</v>
      </c>
      <c r="F5141">
        <v>0</v>
      </c>
      <c r="G5141">
        <v>0</v>
      </c>
      <c r="H5141">
        <v>30</v>
      </c>
      <c r="I5141">
        <v>2394</v>
      </c>
      <c r="J5141">
        <v>2394</v>
      </c>
    </row>
    <row r="5143" spans="1:22" x14ac:dyDescent="0.25">
      <c r="A5143" t="s">
        <v>1058</v>
      </c>
    </row>
    <row r="5144" spans="1:22" x14ac:dyDescent="0.25">
      <c r="A5144" t="s">
        <v>190</v>
      </c>
      <c r="B5144" t="s">
        <v>195</v>
      </c>
      <c r="C5144" t="s">
        <v>189</v>
      </c>
      <c r="D5144" t="s">
        <v>196</v>
      </c>
      <c r="E5144" t="s">
        <v>1059</v>
      </c>
      <c r="F5144" t="s">
        <v>1060</v>
      </c>
      <c r="G5144" t="s">
        <v>220</v>
      </c>
      <c r="H5144" t="s">
        <v>1022</v>
      </c>
      <c r="I5144" t="s">
        <v>1023</v>
      </c>
      <c r="J5144" t="s">
        <v>1024</v>
      </c>
      <c r="K5144" t="s">
        <v>1061</v>
      </c>
      <c r="L5144" t="s">
        <v>1026</v>
      </c>
      <c r="M5144" t="s">
        <v>1062</v>
      </c>
      <c r="N5144" t="s">
        <v>1028</v>
      </c>
      <c r="O5144" t="s">
        <v>1063</v>
      </c>
      <c r="P5144" t="s">
        <v>1064</v>
      </c>
      <c r="Q5144" t="s">
        <v>1031</v>
      </c>
      <c r="R5144" t="s">
        <v>1032</v>
      </c>
      <c r="S5144" t="s">
        <v>1065</v>
      </c>
      <c r="T5144" t="s">
        <v>1066</v>
      </c>
      <c r="U5144" t="s">
        <v>1035</v>
      </c>
      <c r="V5144" t="s">
        <v>1036</v>
      </c>
    </row>
    <row r="5145" spans="1:22" x14ac:dyDescent="0.25">
      <c r="A5145" t="s">
        <v>198</v>
      </c>
      <c r="B5145">
        <v>82</v>
      </c>
      <c r="C5145" t="s">
        <v>197</v>
      </c>
      <c r="D5145">
        <v>2631</v>
      </c>
      <c r="E5145" s="1">
        <v>2.75E-2</v>
      </c>
      <c r="G5145" s="1">
        <v>2.0799999999999999E-2</v>
      </c>
      <c r="J5145" s="1">
        <v>1.0999999999999999E-2</v>
      </c>
      <c r="K5145" s="1">
        <v>0.19309999999999999</v>
      </c>
      <c r="N5145" s="1">
        <v>1.38E-2</v>
      </c>
      <c r="Q5145" s="1">
        <v>0.53920000000000001</v>
      </c>
      <c r="R5145" s="1">
        <v>0.1118</v>
      </c>
      <c r="T5145" s="1">
        <v>1.38E-2</v>
      </c>
      <c r="U5145" s="1">
        <v>9.0300000000000005E-2</v>
      </c>
      <c r="V5145" s="1">
        <v>4.1300000000000003E-2</v>
      </c>
    </row>
    <row r="5146" spans="1:22" x14ac:dyDescent="0.25">
      <c r="A5146" t="s">
        <v>198</v>
      </c>
      <c r="B5146">
        <v>368</v>
      </c>
      <c r="C5146" t="s">
        <v>199</v>
      </c>
      <c r="D5146">
        <v>2631</v>
      </c>
      <c r="E5146" s="1">
        <v>1.7899999999999999E-2</v>
      </c>
      <c r="F5146" s="1">
        <v>4.0000000000000002E-4</v>
      </c>
      <c r="H5146" s="1">
        <v>7.7999999999999996E-3</v>
      </c>
      <c r="I5146" s="1">
        <v>1.5E-3</v>
      </c>
      <c r="J5146" s="1">
        <v>4.4299999999999999E-2</v>
      </c>
      <c r="K5146" s="1">
        <v>0.1157</v>
      </c>
      <c r="L5146" s="1">
        <v>2.3999999999999998E-3</v>
      </c>
      <c r="M5146" s="1">
        <v>2.64E-2</v>
      </c>
      <c r="N5146" s="1">
        <v>3.0999999999999999E-3</v>
      </c>
      <c r="O5146" s="1">
        <v>1.6000000000000001E-3</v>
      </c>
      <c r="Q5146" s="1">
        <v>0.65359999999999996</v>
      </c>
      <c r="R5146" s="1">
        <v>0.1719</v>
      </c>
      <c r="S5146" s="1">
        <v>6.1999999999999998E-3</v>
      </c>
      <c r="U5146" s="1">
        <v>5.1000000000000004E-3</v>
      </c>
      <c r="V5146" s="1">
        <v>2E-3</v>
      </c>
    </row>
    <row r="5147" spans="1:22" x14ac:dyDescent="0.25">
      <c r="A5147" t="s">
        <v>198</v>
      </c>
      <c r="B5147">
        <v>387</v>
      </c>
      <c r="C5147" t="s">
        <v>200</v>
      </c>
      <c r="D5147">
        <v>2631</v>
      </c>
      <c r="E5147" s="1">
        <v>8.0000000000000004E-4</v>
      </c>
      <c r="J5147" s="1">
        <v>9.5999999999999992E-3</v>
      </c>
      <c r="K5147" s="1">
        <v>0.1159</v>
      </c>
      <c r="L5147" s="1">
        <v>1E-3</v>
      </c>
      <c r="M5147" s="1">
        <v>1.15E-2</v>
      </c>
      <c r="N5147" s="1">
        <v>1E-4</v>
      </c>
      <c r="Q5147" s="1">
        <v>0.74439999999999995</v>
      </c>
      <c r="R5147" s="1">
        <v>0.1132</v>
      </c>
      <c r="T5147" s="1">
        <v>8.9999999999999998E-4</v>
      </c>
      <c r="U5147" s="1">
        <v>1.2E-2</v>
      </c>
    </row>
    <row r="5148" spans="1:22" x14ac:dyDescent="0.25">
      <c r="A5148" t="s">
        <v>198</v>
      </c>
      <c r="B5148">
        <v>256</v>
      </c>
      <c r="C5148" t="s">
        <v>201</v>
      </c>
      <c r="D5148">
        <v>2631</v>
      </c>
      <c r="E5148" s="1">
        <v>1.1599999999999999E-2</v>
      </c>
      <c r="G5148" s="1">
        <v>1.1999999999999999E-3</v>
      </c>
      <c r="H5148" s="1">
        <v>8.3000000000000001E-3</v>
      </c>
      <c r="J5148" s="1">
        <v>1.61E-2</v>
      </c>
      <c r="K5148" s="1">
        <v>4.6199999999999998E-2</v>
      </c>
      <c r="M5148" s="1">
        <v>1.32E-2</v>
      </c>
      <c r="N5148" s="1">
        <v>1.1999999999999999E-3</v>
      </c>
      <c r="Q5148" s="1">
        <v>0.85150000000000003</v>
      </c>
      <c r="R5148" s="1">
        <v>8.1199999999999994E-2</v>
      </c>
      <c r="S5148" s="1">
        <v>1.2699999999999999E-2</v>
      </c>
      <c r="U5148" s="1">
        <v>2.9999999999999997E-4</v>
      </c>
      <c r="V5148" s="1">
        <v>3.5000000000000001E-3</v>
      </c>
    </row>
    <row r="5149" spans="1:22" x14ac:dyDescent="0.25">
      <c r="A5149" t="s">
        <v>198</v>
      </c>
      <c r="B5149">
        <v>96</v>
      </c>
      <c r="C5149" t="s">
        <v>202</v>
      </c>
      <c r="D5149">
        <v>2631</v>
      </c>
      <c r="E5149" s="1">
        <v>3.5299999999999998E-2</v>
      </c>
      <c r="K5149" s="1">
        <v>0.16639999999999999</v>
      </c>
      <c r="L5149" s="1">
        <v>1.6E-2</v>
      </c>
      <c r="Q5149" s="1">
        <v>0.74109999999999998</v>
      </c>
      <c r="R5149" s="1">
        <v>8.4699999999999998E-2</v>
      </c>
      <c r="T5149" s="1">
        <v>8.0000000000000002E-3</v>
      </c>
      <c r="V5149" s="1">
        <v>2.6599999999999999E-2</v>
      </c>
    </row>
    <row r="5150" spans="1:22" x14ac:dyDescent="0.25">
      <c r="A5150" t="s">
        <v>203</v>
      </c>
      <c r="B5150">
        <v>529</v>
      </c>
      <c r="C5150" t="s">
        <v>199</v>
      </c>
      <c r="D5150">
        <v>2631</v>
      </c>
      <c r="E5150" s="1">
        <v>8.9999999999999993E-3</v>
      </c>
      <c r="H5150" s="1">
        <v>1E-4</v>
      </c>
      <c r="J5150" s="1">
        <v>2.1000000000000001E-2</v>
      </c>
      <c r="K5150" s="1">
        <v>0.1545</v>
      </c>
      <c r="L5150" s="1">
        <v>2E-3</v>
      </c>
      <c r="M5150" s="1">
        <v>7.6E-3</v>
      </c>
      <c r="O5150" s="1">
        <v>1.6000000000000001E-3</v>
      </c>
      <c r="Q5150" s="1">
        <v>0.5585</v>
      </c>
      <c r="R5150" s="1">
        <v>0.25609999999999999</v>
      </c>
      <c r="S5150" s="1">
        <v>3.3E-3</v>
      </c>
      <c r="T5150" s="1">
        <v>5.9999999999999995E-4</v>
      </c>
      <c r="U5150" s="1">
        <v>2.3999999999999998E-3</v>
      </c>
      <c r="V5150" s="1">
        <v>5.0000000000000001E-4</v>
      </c>
    </row>
    <row r="5151" spans="1:22" x14ac:dyDescent="0.25">
      <c r="A5151" t="s">
        <v>203</v>
      </c>
      <c r="B5151">
        <v>503</v>
      </c>
      <c r="C5151" t="s">
        <v>200</v>
      </c>
      <c r="D5151">
        <v>2631</v>
      </c>
      <c r="E5151" s="1">
        <v>3.8999999999999998E-3</v>
      </c>
      <c r="I5151" s="1">
        <v>4.0000000000000002E-4</v>
      </c>
      <c r="J5151" s="1">
        <v>3.5000000000000001E-3</v>
      </c>
      <c r="K5151" s="1">
        <v>0.12690000000000001</v>
      </c>
      <c r="L5151" s="1">
        <v>5.9999999999999995E-4</v>
      </c>
      <c r="M5151" s="1">
        <v>1E-4</v>
      </c>
      <c r="Q5151" s="1">
        <v>0.63029999999999997</v>
      </c>
      <c r="R5151" s="1">
        <v>0.2319</v>
      </c>
      <c r="U5151" s="1">
        <v>6.6E-3</v>
      </c>
      <c r="V5151" s="1">
        <v>4.1999999999999997E-3</v>
      </c>
    </row>
    <row r="5152" spans="1:22" x14ac:dyDescent="0.25">
      <c r="A5152" t="s">
        <v>203</v>
      </c>
      <c r="B5152">
        <v>320</v>
      </c>
      <c r="C5152" t="s">
        <v>201</v>
      </c>
      <c r="D5152">
        <v>2631</v>
      </c>
      <c r="E5152" s="1">
        <v>2.0000000000000001E-4</v>
      </c>
      <c r="H5152" s="1">
        <v>5.4000000000000003E-3</v>
      </c>
      <c r="I5152" s="1">
        <v>1.23E-2</v>
      </c>
      <c r="J5152" s="1">
        <v>1.7399999999999999E-2</v>
      </c>
      <c r="K5152" s="1">
        <v>5.67E-2</v>
      </c>
      <c r="L5152" s="1">
        <v>7.0000000000000001E-3</v>
      </c>
      <c r="M5152" s="1">
        <v>2.4899999999999999E-2</v>
      </c>
      <c r="N5152" s="1">
        <v>3.8E-3</v>
      </c>
      <c r="O5152" s="1">
        <v>2.0000000000000001E-4</v>
      </c>
      <c r="P5152" s="1">
        <v>2.0000000000000001E-4</v>
      </c>
      <c r="Q5152" s="1">
        <v>0.62580000000000002</v>
      </c>
      <c r="R5152" s="1">
        <v>0.27860000000000001</v>
      </c>
      <c r="S5152" s="1">
        <v>4.0800000000000003E-2</v>
      </c>
      <c r="T5152" s="1">
        <v>3.3E-3</v>
      </c>
      <c r="U5152" s="1">
        <v>1E-3</v>
      </c>
      <c r="V5152" s="1">
        <v>2.0899999999999998E-2</v>
      </c>
    </row>
    <row r="5153" spans="1:23" x14ac:dyDescent="0.25">
      <c r="A5153" t="s">
        <v>203</v>
      </c>
      <c r="B5153">
        <v>90</v>
      </c>
      <c r="C5153" t="s">
        <v>202</v>
      </c>
      <c r="D5153">
        <v>2631</v>
      </c>
      <c r="E5153" s="1">
        <v>3.3799999999999997E-2</v>
      </c>
      <c r="J5153" s="1">
        <v>2.2599999999999999E-2</v>
      </c>
      <c r="K5153" s="1">
        <v>0.16800000000000001</v>
      </c>
      <c r="L5153" s="1">
        <v>1.0200000000000001E-2</v>
      </c>
      <c r="M5153" s="1">
        <v>3.7000000000000002E-3</v>
      </c>
      <c r="N5153" s="1">
        <v>5.8999999999999999E-3</v>
      </c>
      <c r="Q5153" s="1">
        <v>0.69469999999999998</v>
      </c>
      <c r="R5153" s="1">
        <v>0.1227</v>
      </c>
      <c r="V5153" s="1">
        <v>7.6200000000000004E-2</v>
      </c>
    </row>
    <row r="5154" spans="1:23" x14ac:dyDescent="0.25">
      <c r="A5154" t="s">
        <v>204</v>
      </c>
      <c r="B5154">
        <v>2631</v>
      </c>
      <c r="C5154" t="s">
        <v>204</v>
      </c>
      <c r="D5154">
        <v>2631</v>
      </c>
      <c r="E5154" s="1">
        <v>1.21E-2</v>
      </c>
      <c r="F5154" s="1">
        <v>1E-4</v>
      </c>
      <c r="G5154" s="1">
        <v>1.4E-3</v>
      </c>
      <c r="H5154" s="1">
        <v>1.6999999999999999E-3</v>
      </c>
      <c r="I5154" s="1">
        <v>1E-3</v>
      </c>
      <c r="J5154" s="1">
        <v>1.41E-2</v>
      </c>
      <c r="K5154" s="1">
        <v>0.1303</v>
      </c>
      <c r="L5154" s="1">
        <v>3.3E-3</v>
      </c>
      <c r="M5154" s="1">
        <v>7.9000000000000008E-3</v>
      </c>
      <c r="N5154" s="1">
        <v>1.9E-3</v>
      </c>
      <c r="O5154" s="1">
        <v>4.0000000000000002E-4</v>
      </c>
      <c r="P5154" s="1">
        <v>0</v>
      </c>
      <c r="Q5154" s="1">
        <v>0.65600000000000003</v>
      </c>
      <c r="R5154" s="1">
        <v>0.18079999999999999</v>
      </c>
      <c r="S5154" s="1">
        <v>4.0000000000000001E-3</v>
      </c>
      <c r="T5154" s="1">
        <v>2E-3</v>
      </c>
      <c r="U5154" s="1">
        <v>1.04E-2</v>
      </c>
      <c r="V5154" s="1">
        <v>1.2E-2</v>
      </c>
    </row>
    <row r="5156" spans="1:23" x14ac:dyDescent="0.25">
      <c r="A5156" t="s">
        <v>1067</v>
      </c>
    </row>
    <row r="5157" spans="1:23" x14ac:dyDescent="0.25">
      <c r="A5157" t="s">
        <v>190</v>
      </c>
      <c r="B5157" t="s">
        <v>206</v>
      </c>
      <c r="C5157" t="s">
        <v>195</v>
      </c>
      <c r="D5157" t="s">
        <v>189</v>
      </c>
      <c r="E5157" t="s">
        <v>196</v>
      </c>
      <c r="F5157" t="s">
        <v>1059</v>
      </c>
      <c r="G5157" t="s">
        <v>1060</v>
      </c>
      <c r="H5157" t="s">
        <v>220</v>
      </c>
      <c r="I5157" t="s">
        <v>1022</v>
      </c>
      <c r="J5157" t="s">
        <v>1023</v>
      </c>
      <c r="K5157" t="s">
        <v>1024</v>
      </c>
      <c r="L5157" t="s">
        <v>1061</v>
      </c>
      <c r="M5157" t="s">
        <v>1026</v>
      </c>
      <c r="N5157" t="s">
        <v>1062</v>
      </c>
      <c r="O5157" t="s">
        <v>1028</v>
      </c>
      <c r="P5157" t="s">
        <v>1063</v>
      </c>
      <c r="Q5157" t="s">
        <v>1064</v>
      </c>
      <c r="R5157" t="s">
        <v>1031</v>
      </c>
      <c r="S5157" t="s">
        <v>1032</v>
      </c>
      <c r="T5157" t="s">
        <v>1065</v>
      </c>
      <c r="U5157" t="s">
        <v>1066</v>
      </c>
      <c r="V5157" t="s">
        <v>1035</v>
      </c>
      <c r="W5157" t="s">
        <v>1036</v>
      </c>
    </row>
    <row r="5158" spans="1:23" x14ac:dyDescent="0.25">
      <c r="A5158" t="s">
        <v>198</v>
      </c>
      <c r="B5158" t="s">
        <v>228</v>
      </c>
      <c r="C5158">
        <v>33</v>
      </c>
      <c r="D5158" t="s">
        <v>197</v>
      </c>
      <c r="E5158">
        <v>2631</v>
      </c>
      <c r="H5158" s="1">
        <v>4.82E-2</v>
      </c>
      <c r="K5158" s="1">
        <v>2.5600000000000001E-2</v>
      </c>
      <c r="L5158" s="1">
        <v>0.41249999999999998</v>
      </c>
      <c r="O5158" s="1">
        <v>3.1800000000000002E-2</v>
      </c>
      <c r="R5158" s="1">
        <v>0.27900000000000003</v>
      </c>
      <c r="S5158" s="1">
        <v>9.11E-2</v>
      </c>
      <c r="V5158" s="1">
        <v>0.12920000000000001</v>
      </c>
    </row>
    <row r="5159" spans="1:23" x14ac:dyDescent="0.25">
      <c r="A5159" t="s">
        <v>198</v>
      </c>
      <c r="B5159" t="s">
        <v>229</v>
      </c>
      <c r="C5159">
        <v>49</v>
      </c>
      <c r="D5159" t="s">
        <v>197</v>
      </c>
      <c r="E5159">
        <v>2631</v>
      </c>
      <c r="F5159" s="1">
        <v>4.8399999999999999E-2</v>
      </c>
      <c r="L5159" s="1">
        <v>2.63E-2</v>
      </c>
      <c r="R5159" s="1">
        <v>0.7369</v>
      </c>
      <c r="S5159" s="1">
        <v>0.1275</v>
      </c>
      <c r="U5159" s="1">
        <v>2.4199999999999999E-2</v>
      </c>
      <c r="V5159" s="1">
        <v>6.08E-2</v>
      </c>
      <c r="W5159" s="1">
        <v>7.2599999999999998E-2</v>
      </c>
    </row>
    <row r="5160" spans="1:23" x14ac:dyDescent="0.25">
      <c r="A5160" t="s">
        <v>198</v>
      </c>
      <c r="B5160" t="s">
        <v>228</v>
      </c>
      <c r="C5160">
        <v>145</v>
      </c>
      <c r="D5160" t="s">
        <v>199</v>
      </c>
      <c r="E5160">
        <v>2631</v>
      </c>
      <c r="F5160" s="1">
        <v>2.0999999999999999E-3</v>
      </c>
      <c r="G5160" s="1">
        <v>1.6999999999999999E-3</v>
      </c>
      <c r="I5160" s="1">
        <v>3.0300000000000001E-2</v>
      </c>
      <c r="K5160" s="1">
        <v>0.115</v>
      </c>
      <c r="L5160" s="1">
        <v>0.3296</v>
      </c>
      <c r="N5160" s="1">
        <v>0.1012</v>
      </c>
      <c r="O5160" s="1">
        <v>6.1999999999999998E-3</v>
      </c>
      <c r="P5160" s="1">
        <v>4.4999999999999997E-3</v>
      </c>
      <c r="R5160" s="1">
        <v>0.43059999999999998</v>
      </c>
      <c r="S5160" s="1">
        <v>9.2899999999999996E-2</v>
      </c>
      <c r="T5160" s="1">
        <v>2.12E-2</v>
      </c>
      <c r="V5160" s="1">
        <v>1.6500000000000001E-2</v>
      </c>
    </row>
    <row r="5161" spans="1:23" x14ac:dyDescent="0.25">
      <c r="A5161" t="s">
        <v>198</v>
      </c>
      <c r="B5161" t="s">
        <v>229</v>
      </c>
      <c r="C5161">
        <v>213</v>
      </c>
      <c r="D5161" t="s">
        <v>199</v>
      </c>
      <c r="E5161">
        <v>2631</v>
      </c>
      <c r="F5161" s="1">
        <v>2.3599999999999999E-2</v>
      </c>
      <c r="J5161" s="1">
        <v>2E-3</v>
      </c>
      <c r="K5161" s="1">
        <v>1.6E-2</v>
      </c>
      <c r="L5161" s="1">
        <v>4.0800000000000003E-2</v>
      </c>
      <c r="M5161" s="1">
        <v>3.3E-3</v>
      </c>
      <c r="N5161" s="1">
        <v>5.9999999999999995E-4</v>
      </c>
      <c r="O5161" s="1">
        <v>2E-3</v>
      </c>
      <c r="P5161" s="1">
        <v>5.9999999999999995E-4</v>
      </c>
      <c r="R5161" s="1">
        <v>0.73240000000000005</v>
      </c>
      <c r="S5161" s="1">
        <v>0.20119999999999999</v>
      </c>
      <c r="T5161" s="1">
        <v>1E-3</v>
      </c>
      <c r="V5161" s="1">
        <v>1.1999999999999999E-3</v>
      </c>
      <c r="W5161" s="1">
        <v>2.7000000000000001E-3</v>
      </c>
    </row>
    <row r="5162" spans="1:23" x14ac:dyDescent="0.25">
      <c r="A5162" t="s">
        <v>198</v>
      </c>
      <c r="B5162" t="s">
        <v>229</v>
      </c>
      <c r="C5162">
        <v>270</v>
      </c>
      <c r="D5162" t="s">
        <v>200</v>
      </c>
      <c r="E5162">
        <v>2631</v>
      </c>
      <c r="F5162" s="1">
        <v>1.1000000000000001E-3</v>
      </c>
      <c r="K5162" s="1">
        <v>1.2200000000000001E-2</v>
      </c>
      <c r="L5162" s="1">
        <v>4.41E-2</v>
      </c>
      <c r="O5162" s="1">
        <v>1E-4</v>
      </c>
      <c r="R5162" s="1">
        <v>0.83160000000000001</v>
      </c>
      <c r="S5162" s="1">
        <v>0.1129</v>
      </c>
      <c r="V5162" s="1">
        <v>2.9999999999999997E-4</v>
      </c>
    </row>
    <row r="5163" spans="1:23" x14ac:dyDescent="0.25">
      <c r="A5163" t="s">
        <v>198</v>
      </c>
      <c r="B5163" t="s">
        <v>228</v>
      </c>
      <c r="C5163">
        <v>112</v>
      </c>
      <c r="D5163" t="s">
        <v>200</v>
      </c>
      <c r="E5163">
        <v>2631</v>
      </c>
      <c r="K5163" s="1">
        <v>1.5E-3</v>
      </c>
      <c r="L5163" s="1">
        <v>0.35539999999999999</v>
      </c>
      <c r="M5163" s="1">
        <v>4.1000000000000003E-3</v>
      </c>
      <c r="N5163" s="1">
        <v>4.9500000000000002E-2</v>
      </c>
      <c r="R5163" s="1">
        <v>0.45</v>
      </c>
      <c r="S5163" s="1">
        <v>0.1178</v>
      </c>
      <c r="U5163" s="1">
        <v>3.8999999999999998E-3</v>
      </c>
      <c r="V5163" s="1">
        <v>5.0900000000000001E-2</v>
      </c>
    </row>
    <row r="5164" spans="1:23" x14ac:dyDescent="0.25">
      <c r="A5164" t="s">
        <v>198</v>
      </c>
      <c r="B5164" t="s">
        <v>228</v>
      </c>
      <c r="C5164">
        <v>95</v>
      </c>
      <c r="D5164" t="s">
        <v>201</v>
      </c>
      <c r="E5164">
        <v>2631</v>
      </c>
      <c r="F5164" s="1">
        <v>7.7000000000000002E-3</v>
      </c>
      <c r="H5164" s="1">
        <v>5.7999999999999996E-3</v>
      </c>
      <c r="I5164" s="1">
        <v>2.24E-2</v>
      </c>
      <c r="K5164" s="1">
        <v>3.4700000000000002E-2</v>
      </c>
      <c r="L5164" s="1">
        <v>0.15379999999999999</v>
      </c>
      <c r="N5164" s="1">
        <v>1.8100000000000002E-2</v>
      </c>
      <c r="O5164" s="1">
        <v>5.7999999999999996E-3</v>
      </c>
      <c r="R5164" s="1">
        <v>0.73429999999999995</v>
      </c>
      <c r="S5164" s="1">
        <v>4.4999999999999997E-3</v>
      </c>
      <c r="T5164" s="1">
        <v>4.2900000000000001E-2</v>
      </c>
      <c r="V5164" s="1">
        <v>1.5E-3</v>
      </c>
    </row>
    <row r="5165" spans="1:23" x14ac:dyDescent="0.25">
      <c r="A5165" t="s">
        <v>198</v>
      </c>
      <c r="B5165" t="s">
        <v>229</v>
      </c>
      <c r="C5165">
        <v>155</v>
      </c>
      <c r="D5165" t="s">
        <v>201</v>
      </c>
      <c r="E5165">
        <v>2631</v>
      </c>
      <c r="F5165" s="1">
        <v>1.29E-2</v>
      </c>
      <c r="I5165" s="1">
        <v>4.5999999999999999E-3</v>
      </c>
      <c r="K5165" s="1">
        <v>0.01</v>
      </c>
      <c r="L5165" s="1">
        <v>1.6899999999999998E-2</v>
      </c>
      <c r="N5165" s="1">
        <v>1.2E-2</v>
      </c>
      <c r="R5165" s="1">
        <v>0.88329999999999997</v>
      </c>
      <c r="S5165" s="1">
        <v>0.10340000000000001</v>
      </c>
      <c r="T5165" s="1">
        <v>4.5999999999999999E-3</v>
      </c>
      <c r="W5165" s="1">
        <v>4.5999999999999999E-3</v>
      </c>
    </row>
    <row r="5166" spans="1:23" s="29" customFormat="1" x14ac:dyDescent="0.25">
      <c r="A5166" s="29" t="s">
        <v>198</v>
      </c>
      <c r="B5166" s="29" t="s">
        <v>228</v>
      </c>
      <c r="C5166" s="29">
        <v>28</v>
      </c>
      <c r="D5166" s="29" t="s">
        <v>202</v>
      </c>
      <c r="E5166" s="29">
        <v>2631</v>
      </c>
      <c r="L5166" s="30">
        <v>0.62690000000000001</v>
      </c>
      <c r="R5166" s="30">
        <v>0.34599999999999997</v>
      </c>
      <c r="S5166" s="30">
        <v>5.0900000000000001E-2</v>
      </c>
      <c r="U5166" s="30">
        <v>3.39E-2</v>
      </c>
    </row>
    <row r="5167" spans="1:23" x14ac:dyDescent="0.25">
      <c r="A5167" t="s">
        <v>198</v>
      </c>
      <c r="B5167" t="s">
        <v>229</v>
      </c>
      <c r="C5167">
        <v>68</v>
      </c>
      <c r="D5167" t="s">
        <v>202</v>
      </c>
      <c r="E5167">
        <v>2631</v>
      </c>
      <c r="F5167" s="1">
        <v>4.6199999999999998E-2</v>
      </c>
      <c r="L5167" s="1">
        <v>2.3800000000000002E-2</v>
      </c>
      <c r="M5167" s="1">
        <v>2.1000000000000001E-2</v>
      </c>
      <c r="R5167" s="1">
        <v>0.86339999999999995</v>
      </c>
      <c r="S5167" s="1">
        <v>9.5100000000000004E-2</v>
      </c>
      <c r="W5167" s="1">
        <v>3.4799999999999998E-2</v>
      </c>
    </row>
    <row r="5168" spans="1:23" x14ac:dyDescent="0.25">
      <c r="A5168" t="s">
        <v>203</v>
      </c>
      <c r="B5168" t="s">
        <v>229</v>
      </c>
      <c r="C5168">
        <v>370</v>
      </c>
      <c r="D5168" t="s">
        <v>199</v>
      </c>
      <c r="E5168">
        <v>2631</v>
      </c>
      <c r="F5168" s="1">
        <v>5.9999999999999995E-4</v>
      </c>
      <c r="K5168" s="1">
        <v>1.5900000000000001E-2</v>
      </c>
      <c r="L5168" s="1">
        <v>0.1226</v>
      </c>
      <c r="M5168" s="1">
        <v>5.9999999999999995E-4</v>
      </c>
      <c r="N5168" s="1">
        <v>6.1999999999999998E-3</v>
      </c>
      <c r="P5168" s="1">
        <v>5.9999999999999995E-4</v>
      </c>
      <c r="R5168" s="1">
        <v>0.57340000000000002</v>
      </c>
      <c r="S5168" s="1">
        <v>0.28499999999999998</v>
      </c>
      <c r="T5168" s="1">
        <v>2.5000000000000001E-3</v>
      </c>
      <c r="V5168" s="1">
        <v>6.9999999999999999E-4</v>
      </c>
      <c r="W5168" s="1">
        <v>5.9999999999999995E-4</v>
      </c>
    </row>
    <row r="5169" spans="1:23" x14ac:dyDescent="0.25">
      <c r="A5169" t="s">
        <v>203</v>
      </c>
      <c r="B5169" t="s">
        <v>228</v>
      </c>
      <c r="C5169">
        <v>149</v>
      </c>
      <c r="D5169" t="s">
        <v>199</v>
      </c>
      <c r="E5169">
        <v>2631</v>
      </c>
      <c r="F5169" s="1">
        <v>8.1100000000000005E-2</v>
      </c>
      <c r="I5169" s="1">
        <v>8.9999999999999998E-4</v>
      </c>
      <c r="K5169" s="1">
        <v>6.5699999999999995E-2</v>
      </c>
      <c r="L5169" s="1">
        <v>0.42620000000000002</v>
      </c>
      <c r="M5169" s="1">
        <v>1.43E-2</v>
      </c>
      <c r="N5169" s="1">
        <v>2.0199999999999999E-2</v>
      </c>
      <c r="P5169" s="1">
        <v>1.04E-2</v>
      </c>
      <c r="R5169" s="1">
        <v>0.42030000000000001</v>
      </c>
      <c r="S5169" s="1">
        <v>2.07E-2</v>
      </c>
      <c r="T5169" s="1">
        <v>1.09E-2</v>
      </c>
      <c r="U5169" s="1">
        <v>5.4000000000000003E-3</v>
      </c>
      <c r="V5169" s="1">
        <v>1.7100000000000001E-2</v>
      </c>
    </row>
    <row r="5170" spans="1:23" x14ac:dyDescent="0.25">
      <c r="A5170" t="s">
        <v>203</v>
      </c>
      <c r="B5170" t="s">
        <v>229</v>
      </c>
      <c r="C5170">
        <v>347</v>
      </c>
      <c r="D5170" t="s">
        <v>200</v>
      </c>
      <c r="E5170">
        <v>2631</v>
      </c>
      <c r="F5170" s="1">
        <v>4.8999999999999998E-3</v>
      </c>
      <c r="K5170" s="1">
        <v>2.0000000000000001E-4</v>
      </c>
      <c r="L5170" s="1">
        <v>5.8700000000000002E-2</v>
      </c>
      <c r="M5170" s="1">
        <v>8.0000000000000004E-4</v>
      </c>
      <c r="N5170" s="1">
        <v>1E-4</v>
      </c>
      <c r="R5170" s="1">
        <v>0.68859999999999999</v>
      </c>
      <c r="S5170" s="1">
        <v>0.24990000000000001</v>
      </c>
      <c r="W5170" s="1">
        <v>2.8E-3</v>
      </c>
    </row>
    <row r="5171" spans="1:23" x14ac:dyDescent="0.25">
      <c r="A5171" t="s">
        <v>203</v>
      </c>
      <c r="B5171" t="s">
        <v>228</v>
      </c>
      <c r="C5171">
        <v>155</v>
      </c>
      <c r="D5171" t="s">
        <v>200</v>
      </c>
      <c r="E5171">
        <v>2631</v>
      </c>
      <c r="J5171" s="1">
        <v>2.0999999999999999E-3</v>
      </c>
      <c r="K5171" s="1">
        <v>1.6899999999999998E-2</v>
      </c>
      <c r="L5171" s="1">
        <v>0.41160000000000002</v>
      </c>
      <c r="R5171" s="1">
        <v>0.38729999999999998</v>
      </c>
      <c r="S5171" s="1">
        <v>0.157</v>
      </c>
      <c r="V5171" s="1">
        <v>3.4299999999999997E-2</v>
      </c>
      <c r="W5171" s="1">
        <v>1.0200000000000001E-2</v>
      </c>
    </row>
    <row r="5172" spans="1:23" x14ac:dyDescent="0.25">
      <c r="A5172" t="s">
        <v>203</v>
      </c>
      <c r="B5172" t="s">
        <v>229</v>
      </c>
      <c r="C5172">
        <v>137</v>
      </c>
      <c r="D5172" t="s">
        <v>201</v>
      </c>
      <c r="E5172">
        <v>2631</v>
      </c>
      <c r="J5172" s="1">
        <v>3.2000000000000002E-3</v>
      </c>
      <c r="K5172" s="1">
        <v>1.9300000000000001E-2</v>
      </c>
      <c r="L5172" s="1">
        <v>3.2599999999999997E-2</v>
      </c>
      <c r="M5172" s="1">
        <v>9.1999999999999998E-3</v>
      </c>
      <c r="N5172" s="1">
        <v>2.75E-2</v>
      </c>
      <c r="O5172" s="1">
        <v>2.5000000000000001E-3</v>
      </c>
      <c r="R5172" s="1">
        <v>0.62909999999999999</v>
      </c>
      <c r="S5172" s="1">
        <v>0.34570000000000001</v>
      </c>
      <c r="T5172" s="1">
        <v>1.83E-2</v>
      </c>
      <c r="W5172" s="1">
        <v>2.75E-2</v>
      </c>
    </row>
    <row r="5173" spans="1:23" x14ac:dyDescent="0.25">
      <c r="A5173" t="s">
        <v>203</v>
      </c>
      <c r="B5173" t="s">
        <v>228</v>
      </c>
      <c r="C5173">
        <v>177</v>
      </c>
      <c r="D5173" t="s">
        <v>201</v>
      </c>
      <c r="E5173">
        <v>2631</v>
      </c>
      <c r="F5173" s="1">
        <v>8.0000000000000004E-4</v>
      </c>
      <c r="I5173" s="1">
        <v>2.2700000000000001E-2</v>
      </c>
      <c r="J5173" s="1">
        <v>4.1500000000000002E-2</v>
      </c>
      <c r="K5173" s="1">
        <v>1.17E-2</v>
      </c>
      <c r="L5173" s="1">
        <v>0.13370000000000001</v>
      </c>
      <c r="N5173" s="1">
        <v>1.7000000000000001E-2</v>
      </c>
      <c r="O5173" s="1">
        <v>7.9000000000000008E-3</v>
      </c>
      <c r="P5173" s="1">
        <v>8.0000000000000004E-4</v>
      </c>
      <c r="Q5173" s="1">
        <v>8.0000000000000004E-4</v>
      </c>
      <c r="R5173" s="1">
        <v>0.6129</v>
      </c>
      <c r="S5173" s="1">
        <v>6.7900000000000002E-2</v>
      </c>
      <c r="T5173" s="1">
        <v>0.11260000000000001</v>
      </c>
      <c r="U5173" s="1">
        <v>1.37E-2</v>
      </c>
      <c r="V5173" s="1">
        <v>3.3E-3</v>
      </c>
    </row>
    <row r="5174" spans="1:23" x14ac:dyDescent="0.25">
      <c r="A5174" t="s">
        <v>203</v>
      </c>
      <c r="B5174" t="s">
        <v>228</v>
      </c>
      <c r="C5174">
        <v>34</v>
      </c>
      <c r="D5174" t="s">
        <v>202</v>
      </c>
      <c r="E5174">
        <v>2631</v>
      </c>
      <c r="F5174" s="1">
        <v>1.32E-2</v>
      </c>
      <c r="K5174" s="1">
        <v>8.0100000000000005E-2</v>
      </c>
      <c r="L5174" s="1">
        <v>0.51590000000000003</v>
      </c>
      <c r="O5174" s="1">
        <v>2.0899999999999998E-2</v>
      </c>
      <c r="R5174" s="1">
        <v>0.46879999999999999</v>
      </c>
    </row>
    <row r="5175" spans="1:23" x14ac:dyDescent="0.25">
      <c r="A5175" t="s">
        <v>203</v>
      </c>
      <c r="B5175" t="s">
        <v>229</v>
      </c>
      <c r="C5175">
        <v>56</v>
      </c>
      <c r="D5175" t="s">
        <v>202</v>
      </c>
      <c r="E5175">
        <v>2631</v>
      </c>
      <c r="F5175" s="1">
        <v>4.19E-2</v>
      </c>
      <c r="L5175" s="1">
        <v>3.09E-2</v>
      </c>
      <c r="M5175" s="1">
        <v>1.43E-2</v>
      </c>
      <c r="N5175" s="1">
        <v>5.1999999999999998E-3</v>
      </c>
      <c r="R5175" s="1">
        <v>0.78380000000000005</v>
      </c>
      <c r="S5175" s="1">
        <v>0.1711</v>
      </c>
      <c r="W5175" s="1">
        <v>0.1062</v>
      </c>
    </row>
    <row r="5176" spans="1:23" x14ac:dyDescent="0.25">
      <c r="A5176" t="s">
        <v>204</v>
      </c>
      <c r="B5176" t="s">
        <v>204</v>
      </c>
      <c r="C5176">
        <v>2631</v>
      </c>
      <c r="D5176" t="s">
        <v>204</v>
      </c>
      <c r="E5176">
        <v>2631</v>
      </c>
      <c r="F5176" s="1">
        <v>1.21E-2</v>
      </c>
      <c r="G5176" s="1">
        <v>1E-4</v>
      </c>
      <c r="H5176" s="1">
        <v>1.4E-3</v>
      </c>
      <c r="I5176" s="1">
        <v>1.6999999999999999E-3</v>
      </c>
      <c r="J5176" s="1">
        <v>1E-3</v>
      </c>
      <c r="K5176" s="1">
        <v>1.41E-2</v>
      </c>
      <c r="L5176" s="1">
        <v>0.1303</v>
      </c>
      <c r="M5176" s="1">
        <v>3.3E-3</v>
      </c>
      <c r="N5176" s="1">
        <v>7.9000000000000008E-3</v>
      </c>
      <c r="O5176" s="1">
        <v>1.9E-3</v>
      </c>
      <c r="P5176" s="1">
        <v>4.0000000000000002E-4</v>
      </c>
      <c r="Q5176" s="1">
        <v>0</v>
      </c>
      <c r="R5176" s="1">
        <v>0.65600000000000003</v>
      </c>
      <c r="S5176" s="1">
        <v>0.18079999999999999</v>
      </c>
      <c r="T5176" s="1">
        <v>4.0000000000000001E-3</v>
      </c>
      <c r="U5176" s="1">
        <v>2E-3</v>
      </c>
      <c r="V5176" s="1">
        <v>1.04E-2</v>
      </c>
      <c r="W5176" s="1">
        <v>1.2E-2</v>
      </c>
    </row>
    <row r="5178" spans="1:23" x14ac:dyDescent="0.25">
      <c r="A5178" t="s">
        <v>1068</v>
      </c>
    </row>
    <row r="5179" spans="1:23" x14ac:dyDescent="0.25">
      <c r="A5179" t="s">
        <v>190</v>
      </c>
      <c r="B5179" t="s">
        <v>206</v>
      </c>
      <c r="C5179" t="s">
        <v>195</v>
      </c>
      <c r="D5179" t="s">
        <v>189</v>
      </c>
      <c r="E5179" t="s">
        <v>196</v>
      </c>
      <c r="F5179" t="s">
        <v>1059</v>
      </c>
      <c r="G5179" t="s">
        <v>1060</v>
      </c>
      <c r="H5179" t="s">
        <v>220</v>
      </c>
      <c r="I5179" t="s">
        <v>1022</v>
      </c>
      <c r="J5179" t="s">
        <v>1023</v>
      </c>
      <c r="K5179" t="s">
        <v>1024</v>
      </c>
      <c r="L5179" t="s">
        <v>1061</v>
      </c>
      <c r="M5179" t="s">
        <v>1026</v>
      </c>
      <c r="N5179" t="s">
        <v>1062</v>
      </c>
      <c r="O5179" t="s">
        <v>1028</v>
      </c>
      <c r="P5179" t="s">
        <v>1063</v>
      </c>
      <c r="Q5179" t="s">
        <v>1064</v>
      </c>
      <c r="R5179" t="s">
        <v>1031</v>
      </c>
      <c r="S5179" t="s">
        <v>1032</v>
      </c>
      <c r="T5179" t="s">
        <v>1065</v>
      </c>
      <c r="U5179" t="s">
        <v>1066</v>
      </c>
      <c r="V5179" t="s">
        <v>1035</v>
      </c>
      <c r="W5179" t="s">
        <v>1036</v>
      </c>
    </row>
    <row r="5180" spans="1:23" x14ac:dyDescent="0.25">
      <c r="A5180" t="s">
        <v>198</v>
      </c>
      <c r="B5180" t="s">
        <v>348</v>
      </c>
      <c r="C5180">
        <v>79</v>
      </c>
      <c r="D5180" t="s">
        <v>197</v>
      </c>
      <c r="E5180">
        <v>2631</v>
      </c>
      <c r="F5180" s="1">
        <v>2.8400000000000002E-2</v>
      </c>
      <c r="H5180" s="1">
        <v>2.1499999999999998E-2</v>
      </c>
      <c r="K5180" s="1">
        <v>1.14E-2</v>
      </c>
      <c r="L5180" s="1">
        <v>0.1769</v>
      </c>
      <c r="O5180" s="1">
        <v>1.4200000000000001E-2</v>
      </c>
      <c r="R5180" s="1">
        <v>0.55759999999999998</v>
      </c>
      <c r="S5180" s="1">
        <v>0.1042</v>
      </c>
      <c r="U5180" s="1">
        <v>1.4200000000000001E-2</v>
      </c>
      <c r="V5180" s="1">
        <v>9.3399999999999997E-2</v>
      </c>
      <c r="W5180" s="1">
        <v>4.2700000000000002E-2</v>
      </c>
    </row>
    <row r="5181" spans="1:23" s="29" customFormat="1" x14ac:dyDescent="0.25">
      <c r="A5181" s="29" t="s">
        <v>198</v>
      </c>
      <c r="B5181" s="29" t="s">
        <v>349</v>
      </c>
      <c r="C5181" s="29">
        <v>3</v>
      </c>
      <c r="D5181" s="29" t="s">
        <v>197</v>
      </c>
      <c r="E5181" s="29">
        <v>2631</v>
      </c>
      <c r="L5181" s="30">
        <v>0.66669999999999996</v>
      </c>
      <c r="S5181" s="30">
        <v>0.33329999999999999</v>
      </c>
    </row>
    <row r="5182" spans="1:23" x14ac:dyDescent="0.25">
      <c r="A5182" t="s">
        <v>198</v>
      </c>
      <c r="B5182" t="s">
        <v>348</v>
      </c>
      <c r="C5182">
        <v>54</v>
      </c>
      <c r="D5182" t="s">
        <v>199</v>
      </c>
      <c r="E5182">
        <v>2631</v>
      </c>
      <c r="F5182" s="1">
        <v>3.8E-3</v>
      </c>
      <c r="J5182" s="1">
        <v>1.09E-2</v>
      </c>
      <c r="K5182" s="1">
        <v>8.2199999999999995E-2</v>
      </c>
      <c r="L5182" s="1">
        <v>9.0499999999999997E-2</v>
      </c>
      <c r="N5182" s="1">
        <v>5.8999999999999999E-3</v>
      </c>
      <c r="O5182" s="1">
        <v>1.09E-2</v>
      </c>
      <c r="R5182" s="1">
        <v>0.6744</v>
      </c>
      <c r="S5182" s="1">
        <v>0.15459999999999999</v>
      </c>
      <c r="V5182" s="1">
        <v>3.8E-3</v>
      </c>
    </row>
    <row r="5183" spans="1:23" x14ac:dyDescent="0.25">
      <c r="A5183" t="s">
        <v>198</v>
      </c>
      <c r="B5183" t="s">
        <v>349</v>
      </c>
      <c r="C5183">
        <v>111</v>
      </c>
      <c r="D5183" t="s">
        <v>199</v>
      </c>
      <c r="E5183">
        <v>2631</v>
      </c>
      <c r="F5183" s="1">
        <v>3.8699999999999998E-2</v>
      </c>
      <c r="I5183" s="1">
        <v>1.2800000000000001E-2</v>
      </c>
      <c r="K5183" s="1">
        <v>1.0699999999999999E-2</v>
      </c>
      <c r="L5183" s="1">
        <v>0.16600000000000001</v>
      </c>
      <c r="N5183" s="1">
        <v>1.7399999999999999E-2</v>
      </c>
      <c r="R5183" s="1">
        <v>0.64990000000000003</v>
      </c>
      <c r="S5183" s="1">
        <v>0.1361</v>
      </c>
      <c r="T5183" s="1">
        <v>2.5999999999999999E-3</v>
      </c>
      <c r="V5183" s="1">
        <v>9.1999999999999998E-3</v>
      </c>
    </row>
    <row r="5184" spans="1:23" x14ac:dyDescent="0.25">
      <c r="A5184" t="s">
        <v>198</v>
      </c>
      <c r="B5184" t="s">
        <v>350</v>
      </c>
      <c r="C5184">
        <v>193</v>
      </c>
      <c r="D5184" t="s">
        <v>199</v>
      </c>
      <c r="E5184">
        <v>2631</v>
      </c>
      <c r="G5184" s="1">
        <v>1.1000000000000001E-3</v>
      </c>
      <c r="I5184" s="1">
        <v>4.8999999999999998E-3</v>
      </c>
      <c r="K5184" s="1">
        <v>6.2100000000000002E-2</v>
      </c>
      <c r="L5184" s="1">
        <v>6.7599999999999993E-2</v>
      </c>
      <c r="M5184" s="1">
        <v>6.0000000000000001E-3</v>
      </c>
      <c r="N5184" s="1">
        <v>4.3799999999999999E-2</v>
      </c>
      <c r="O5184" s="1">
        <v>3.8999999999999998E-3</v>
      </c>
      <c r="P5184" s="1">
        <v>3.8999999999999998E-3</v>
      </c>
      <c r="R5184" s="1">
        <v>0.65269999999999995</v>
      </c>
      <c r="S5184" s="1">
        <v>0.22090000000000001</v>
      </c>
      <c r="T5184" s="1">
        <v>1.24E-2</v>
      </c>
      <c r="V5184" s="1">
        <v>1.1000000000000001E-3</v>
      </c>
      <c r="W5184" s="1">
        <v>4.8999999999999998E-3</v>
      </c>
    </row>
    <row r="5185" spans="1:23" x14ac:dyDescent="0.25">
      <c r="A5185" t="s">
        <v>198</v>
      </c>
      <c r="B5185" t="s">
        <v>350</v>
      </c>
      <c r="C5185">
        <v>78</v>
      </c>
      <c r="D5185" t="s">
        <v>200</v>
      </c>
      <c r="E5185">
        <v>2631</v>
      </c>
      <c r="F5185" s="1">
        <v>1.1299999999999999E-2</v>
      </c>
      <c r="K5185" s="1">
        <v>1.4E-3</v>
      </c>
      <c r="L5185" s="1">
        <v>0.24399999999999999</v>
      </c>
      <c r="M5185" s="1">
        <v>1.35E-2</v>
      </c>
      <c r="N5185" s="1">
        <v>1.4E-3</v>
      </c>
      <c r="R5185" s="1">
        <v>0.66869999999999996</v>
      </c>
      <c r="S5185" s="1">
        <v>3.2099999999999997E-2</v>
      </c>
      <c r="U5185" s="1">
        <v>1.2699999999999999E-2</v>
      </c>
      <c r="V5185" s="1">
        <v>2.6200000000000001E-2</v>
      </c>
    </row>
    <row r="5186" spans="1:23" x14ac:dyDescent="0.25">
      <c r="A5186" t="s">
        <v>198</v>
      </c>
      <c r="B5186" t="s">
        <v>348</v>
      </c>
      <c r="C5186">
        <v>242</v>
      </c>
      <c r="D5186" t="s">
        <v>200</v>
      </c>
      <c r="E5186">
        <v>2631</v>
      </c>
      <c r="K5186" s="1">
        <v>1.0500000000000001E-2</v>
      </c>
      <c r="L5186" s="1">
        <v>8.6800000000000002E-2</v>
      </c>
      <c r="N5186" s="1">
        <v>1.17E-2</v>
      </c>
      <c r="R5186" s="1">
        <v>0.76639999999999997</v>
      </c>
      <c r="S5186" s="1">
        <v>0.12740000000000001</v>
      </c>
      <c r="V5186" s="1">
        <v>6.0000000000000001E-3</v>
      </c>
    </row>
    <row r="5187" spans="1:23" x14ac:dyDescent="0.25">
      <c r="A5187" t="s">
        <v>198</v>
      </c>
      <c r="B5187" t="s">
        <v>349</v>
      </c>
      <c r="C5187">
        <v>62</v>
      </c>
      <c r="D5187" t="s">
        <v>200</v>
      </c>
      <c r="E5187">
        <v>2631</v>
      </c>
      <c r="K5187" s="1">
        <v>7.6E-3</v>
      </c>
      <c r="L5187" s="1">
        <v>0.40739999999999998</v>
      </c>
      <c r="N5187" s="1">
        <v>2.1600000000000001E-2</v>
      </c>
      <c r="O5187" s="1">
        <v>1.6999999999999999E-3</v>
      </c>
      <c r="R5187" s="1">
        <v>0.47760000000000002</v>
      </c>
      <c r="S5187" s="1">
        <v>1.38E-2</v>
      </c>
      <c r="V5187" s="1">
        <v>8.5800000000000001E-2</v>
      </c>
    </row>
    <row r="5188" spans="1:23" x14ac:dyDescent="0.25">
      <c r="A5188" t="s">
        <v>198</v>
      </c>
      <c r="B5188" t="s">
        <v>349</v>
      </c>
      <c r="C5188">
        <v>125</v>
      </c>
      <c r="D5188" t="s">
        <v>201</v>
      </c>
      <c r="E5188">
        <v>2631</v>
      </c>
      <c r="F5188" s="1">
        <v>1.6E-2</v>
      </c>
      <c r="H5188" s="1">
        <v>1.8E-3</v>
      </c>
      <c r="I5188" s="1">
        <v>5.1999999999999998E-3</v>
      </c>
      <c r="K5188" s="1">
        <v>1.5900000000000001E-2</v>
      </c>
      <c r="L5188" s="1">
        <v>1.7600000000000001E-2</v>
      </c>
      <c r="N5188" s="1">
        <v>1.3599999999999999E-2</v>
      </c>
      <c r="R5188" s="1">
        <v>0.89880000000000004</v>
      </c>
      <c r="S5188" s="1">
        <v>7.7200000000000005E-2</v>
      </c>
      <c r="T5188" s="1">
        <v>8.8000000000000005E-3</v>
      </c>
      <c r="V5188" s="1">
        <v>5.0000000000000001E-4</v>
      </c>
      <c r="W5188" s="1">
        <v>5.1999999999999998E-3</v>
      </c>
    </row>
    <row r="5189" spans="1:23" x14ac:dyDescent="0.25">
      <c r="A5189" t="s">
        <v>198</v>
      </c>
      <c r="B5189" t="s">
        <v>350</v>
      </c>
      <c r="C5189">
        <v>63</v>
      </c>
      <c r="D5189" t="s">
        <v>201</v>
      </c>
      <c r="E5189">
        <v>2631</v>
      </c>
      <c r="F5189" s="1">
        <v>1.47E-2</v>
      </c>
      <c r="K5189" s="1">
        <v>1.47E-2</v>
      </c>
      <c r="L5189" s="1">
        <v>0.1217</v>
      </c>
      <c r="N5189" s="1">
        <v>6.8999999999999999E-3</v>
      </c>
      <c r="R5189" s="1">
        <v>0.78569999999999995</v>
      </c>
      <c r="S5189" s="1">
        <v>5.0200000000000002E-2</v>
      </c>
      <c r="T5189" s="1">
        <v>2.0799999999999999E-2</v>
      </c>
    </row>
    <row r="5190" spans="1:23" x14ac:dyDescent="0.25">
      <c r="A5190" t="s">
        <v>198</v>
      </c>
      <c r="B5190" t="s">
        <v>348</v>
      </c>
      <c r="C5190">
        <v>62</v>
      </c>
      <c r="D5190" t="s">
        <v>201</v>
      </c>
      <c r="E5190">
        <v>2631</v>
      </c>
      <c r="I5190" s="1">
        <v>1.8499999999999999E-2</v>
      </c>
      <c r="K5190" s="1">
        <v>1.37E-2</v>
      </c>
      <c r="L5190" s="1">
        <v>0.10979999999999999</v>
      </c>
      <c r="N5190" s="1">
        <v>1.37E-2</v>
      </c>
      <c r="O5190" s="1">
        <v>4.7999999999999996E-3</v>
      </c>
      <c r="R5190" s="1">
        <v>0.73619999999999997</v>
      </c>
      <c r="S5190" s="1">
        <v>0.1008</v>
      </c>
      <c r="T5190" s="1">
        <v>2.2100000000000002E-2</v>
      </c>
    </row>
    <row r="5191" spans="1:23" x14ac:dyDescent="0.25">
      <c r="A5191" t="s">
        <v>198</v>
      </c>
      <c r="B5191" t="s">
        <v>348</v>
      </c>
      <c r="C5191">
        <v>96</v>
      </c>
      <c r="D5191" t="s">
        <v>202</v>
      </c>
      <c r="E5191">
        <v>2631</v>
      </c>
      <c r="F5191" s="1">
        <v>3.5299999999999998E-2</v>
      </c>
      <c r="L5191" s="1">
        <v>0.16639999999999999</v>
      </c>
      <c r="M5191" s="1">
        <v>1.6E-2</v>
      </c>
      <c r="R5191" s="1">
        <v>0.74109999999999998</v>
      </c>
      <c r="S5191" s="1">
        <v>8.4699999999999998E-2</v>
      </c>
      <c r="U5191" s="1">
        <v>8.0000000000000002E-3</v>
      </c>
      <c r="W5191" s="1">
        <v>2.6599999999999999E-2</v>
      </c>
    </row>
    <row r="5192" spans="1:23" x14ac:dyDescent="0.25">
      <c r="A5192" t="s">
        <v>203</v>
      </c>
      <c r="B5192" t="s">
        <v>349</v>
      </c>
      <c r="C5192">
        <v>171</v>
      </c>
      <c r="D5192" t="s">
        <v>199</v>
      </c>
      <c r="E5192">
        <v>2631</v>
      </c>
      <c r="F5192" s="1">
        <v>2.6200000000000001E-2</v>
      </c>
      <c r="K5192" s="1">
        <v>4.9399999999999999E-2</v>
      </c>
      <c r="L5192" s="1">
        <v>0.38529999999999998</v>
      </c>
      <c r="M5192" s="1">
        <v>2.8E-3</v>
      </c>
      <c r="N5192" s="1">
        <v>4.7999999999999996E-3</v>
      </c>
      <c r="P5192" s="1">
        <v>1.6000000000000001E-3</v>
      </c>
      <c r="R5192" s="1">
        <v>0.54549999999999998</v>
      </c>
      <c r="S5192" s="1">
        <v>1.06E-2</v>
      </c>
      <c r="V5192" s="1">
        <v>3.3E-3</v>
      </c>
    </row>
    <row r="5193" spans="1:23" x14ac:dyDescent="0.25">
      <c r="A5193" t="s">
        <v>203</v>
      </c>
      <c r="B5193" t="s">
        <v>348</v>
      </c>
      <c r="C5193">
        <v>42</v>
      </c>
      <c r="D5193" t="s">
        <v>199</v>
      </c>
      <c r="E5193">
        <v>2631</v>
      </c>
      <c r="K5193" s="1">
        <v>3.1800000000000002E-2</v>
      </c>
      <c r="L5193" s="1">
        <v>7.3700000000000002E-2</v>
      </c>
      <c r="R5193" s="1">
        <v>0.81979999999999997</v>
      </c>
      <c r="S5193" s="1">
        <v>7.4700000000000003E-2</v>
      </c>
    </row>
    <row r="5194" spans="1:23" x14ac:dyDescent="0.25">
      <c r="A5194" t="s">
        <v>203</v>
      </c>
      <c r="B5194" t="s">
        <v>350</v>
      </c>
      <c r="C5194">
        <v>306</v>
      </c>
      <c r="D5194" t="s">
        <v>199</v>
      </c>
      <c r="E5194">
        <v>2631</v>
      </c>
      <c r="F5194" s="1">
        <v>8.9999999999999998E-4</v>
      </c>
      <c r="I5194" s="1">
        <v>1E-4</v>
      </c>
      <c r="K5194" s="1">
        <v>5.7999999999999996E-3</v>
      </c>
      <c r="L5194" s="1">
        <v>4.1399999999999999E-2</v>
      </c>
      <c r="M5194" s="1">
        <v>1.8E-3</v>
      </c>
      <c r="N5194" s="1">
        <v>9.5999999999999992E-3</v>
      </c>
      <c r="P5194" s="1">
        <v>1.6999999999999999E-3</v>
      </c>
      <c r="R5194" s="1">
        <v>0.54610000000000003</v>
      </c>
      <c r="S5194" s="1">
        <v>0.39589999999999997</v>
      </c>
      <c r="T5194" s="1">
        <v>5.3E-3</v>
      </c>
      <c r="U5194" s="1">
        <v>8.9999999999999998E-4</v>
      </c>
      <c r="V5194" s="1">
        <v>2.0999999999999999E-3</v>
      </c>
      <c r="W5194" s="1">
        <v>8.0000000000000004E-4</v>
      </c>
    </row>
    <row r="5195" spans="1:23" x14ac:dyDescent="0.25">
      <c r="A5195" t="s">
        <v>203</v>
      </c>
      <c r="B5195" t="s">
        <v>348</v>
      </c>
      <c r="C5195">
        <v>300</v>
      </c>
      <c r="D5195" t="s">
        <v>200</v>
      </c>
      <c r="E5195">
        <v>2631</v>
      </c>
      <c r="F5195" s="1">
        <v>4.4000000000000003E-3</v>
      </c>
      <c r="J5195" s="1">
        <v>5.0000000000000001E-4</v>
      </c>
      <c r="K5195" s="1">
        <v>3.0000000000000001E-3</v>
      </c>
      <c r="L5195" s="1">
        <v>0.1351</v>
      </c>
      <c r="M5195" s="1">
        <v>5.9999999999999995E-4</v>
      </c>
      <c r="R5195" s="1">
        <v>0.59460000000000002</v>
      </c>
      <c r="S5195" s="1">
        <v>0.25929999999999997</v>
      </c>
      <c r="V5195" s="1">
        <v>6.7000000000000002E-3</v>
      </c>
      <c r="W5195" s="1">
        <v>4.1999999999999997E-3</v>
      </c>
    </row>
    <row r="5196" spans="1:23" x14ac:dyDescent="0.25">
      <c r="A5196" t="s">
        <v>203</v>
      </c>
      <c r="B5196" t="s">
        <v>349</v>
      </c>
      <c r="C5196">
        <v>108</v>
      </c>
      <c r="D5196" t="s">
        <v>200</v>
      </c>
      <c r="E5196">
        <v>2631</v>
      </c>
      <c r="K5196" s="1">
        <v>6.4999999999999997E-3</v>
      </c>
      <c r="L5196" s="1">
        <v>5.8900000000000001E-2</v>
      </c>
      <c r="R5196" s="1">
        <v>0.92430000000000001</v>
      </c>
      <c r="S5196" s="1">
        <v>9.4999999999999998E-3</v>
      </c>
      <c r="V5196" s="1">
        <v>8.0000000000000004E-4</v>
      </c>
    </row>
    <row r="5197" spans="1:23" x14ac:dyDescent="0.25">
      <c r="A5197" t="s">
        <v>203</v>
      </c>
      <c r="B5197" t="s">
        <v>350</v>
      </c>
      <c r="C5197">
        <v>94</v>
      </c>
      <c r="D5197" t="s">
        <v>200</v>
      </c>
      <c r="E5197">
        <v>2631</v>
      </c>
      <c r="K5197" s="1">
        <v>7.9000000000000008E-3</v>
      </c>
      <c r="L5197" s="1">
        <v>7.17E-2</v>
      </c>
      <c r="M5197" s="1">
        <v>1.8E-3</v>
      </c>
      <c r="N5197" s="1">
        <v>3.3999999999999998E-3</v>
      </c>
      <c r="R5197" s="1">
        <v>0.87529999999999997</v>
      </c>
      <c r="S5197" s="1">
        <v>3.78E-2</v>
      </c>
      <c r="V5197" s="1">
        <v>1.77E-2</v>
      </c>
      <c r="W5197" s="1">
        <v>1.55E-2</v>
      </c>
    </row>
    <row r="5198" spans="1:23" x14ac:dyDescent="0.25">
      <c r="A5198" t="s">
        <v>203</v>
      </c>
      <c r="B5198" t="s">
        <v>348</v>
      </c>
      <c r="C5198">
        <v>62</v>
      </c>
      <c r="D5198" t="s">
        <v>201</v>
      </c>
      <c r="E5198">
        <v>2631</v>
      </c>
      <c r="I5198" s="1">
        <v>3.8699999999999998E-2</v>
      </c>
      <c r="J5198" s="1">
        <v>7.8E-2</v>
      </c>
      <c r="K5198" s="1">
        <v>1.9400000000000001E-2</v>
      </c>
      <c r="L5198" s="1">
        <v>0.26040000000000002</v>
      </c>
      <c r="N5198" s="1">
        <v>2.4299999999999999E-2</v>
      </c>
      <c r="R5198" s="1">
        <v>0.52190000000000003</v>
      </c>
      <c r="S5198" s="1">
        <v>0.1201</v>
      </c>
      <c r="T5198" s="1">
        <v>5.9900000000000002E-2</v>
      </c>
      <c r="U5198" s="1">
        <v>1.26E-2</v>
      </c>
    </row>
    <row r="5199" spans="1:23" x14ac:dyDescent="0.25">
      <c r="A5199" t="s">
        <v>203</v>
      </c>
      <c r="B5199" t="s">
        <v>349</v>
      </c>
      <c r="C5199">
        <v>147</v>
      </c>
      <c r="D5199" t="s">
        <v>201</v>
      </c>
      <c r="E5199">
        <v>2631</v>
      </c>
      <c r="J5199" s="1">
        <v>4.5999999999999999E-3</v>
      </c>
      <c r="K5199" s="1">
        <v>1.7999999999999999E-2</v>
      </c>
      <c r="L5199" s="1">
        <v>2.8199999999999999E-2</v>
      </c>
      <c r="M5199" s="1">
        <v>8.5000000000000006E-3</v>
      </c>
      <c r="N5199" s="1">
        <v>2.63E-2</v>
      </c>
      <c r="O5199" s="1">
        <v>4.5999999999999999E-3</v>
      </c>
      <c r="P5199" s="1">
        <v>2.0000000000000001E-4</v>
      </c>
      <c r="R5199" s="1">
        <v>0.61770000000000003</v>
      </c>
      <c r="S5199" s="1">
        <v>0.32279999999999998</v>
      </c>
      <c r="T5199" s="1">
        <v>3.9300000000000002E-2</v>
      </c>
      <c r="U5199" s="1">
        <v>2.3E-3</v>
      </c>
      <c r="V5199" s="1">
        <v>6.9999999999999999E-4</v>
      </c>
      <c r="W5199" s="1">
        <v>2.5600000000000001E-2</v>
      </c>
    </row>
    <row r="5200" spans="1:23" x14ac:dyDescent="0.25">
      <c r="A5200" t="s">
        <v>203</v>
      </c>
      <c r="B5200" t="s">
        <v>350</v>
      </c>
      <c r="C5200">
        <v>105</v>
      </c>
      <c r="D5200" t="s">
        <v>201</v>
      </c>
      <c r="E5200">
        <v>2631</v>
      </c>
      <c r="F5200" s="1">
        <v>2.8E-3</v>
      </c>
      <c r="I5200" s="1">
        <v>1.6199999999999999E-2</v>
      </c>
      <c r="K5200" s="1">
        <v>8.3000000000000001E-3</v>
      </c>
      <c r="L5200" s="1">
        <v>7.0000000000000007E-2</v>
      </c>
      <c r="N5200" s="1">
        <v>1.0999999999999999E-2</v>
      </c>
      <c r="Q5200" s="1">
        <v>2.8E-3</v>
      </c>
      <c r="R5200" s="1">
        <v>0.87</v>
      </c>
      <c r="S5200" s="1">
        <v>2.7199999999999998E-2</v>
      </c>
      <c r="T5200" s="1">
        <v>2.9000000000000001E-2</v>
      </c>
      <c r="V5200" s="1">
        <v>2.8E-3</v>
      </c>
    </row>
    <row r="5201" spans="1:23" x14ac:dyDescent="0.25">
      <c r="A5201" t="s">
        <v>203</v>
      </c>
      <c r="B5201" t="s">
        <v>348</v>
      </c>
      <c r="C5201">
        <v>90</v>
      </c>
      <c r="D5201" t="s">
        <v>202</v>
      </c>
      <c r="E5201">
        <v>2631</v>
      </c>
      <c r="F5201" s="1">
        <v>3.3799999999999997E-2</v>
      </c>
      <c r="K5201" s="1">
        <v>2.2599999999999999E-2</v>
      </c>
      <c r="L5201" s="1">
        <v>0.16800000000000001</v>
      </c>
      <c r="M5201" s="1">
        <v>1.0200000000000001E-2</v>
      </c>
      <c r="N5201" s="1">
        <v>3.7000000000000002E-3</v>
      </c>
      <c r="O5201" s="1">
        <v>5.8999999999999999E-3</v>
      </c>
      <c r="R5201" s="1">
        <v>0.69469999999999998</v>
      </c>
      <c r="S5201" s="1">
        <v>0.1227</v>
      </c>
      <c r="W5201" s="1">
        <v>7.6200000000000004E-2</v>
      </c>
    </row>
    <row r="5202" spans="1:23" x14ac:dyDescent="0.25">
      <c r="A5202" t="s">
        <v>204</v>
      </c>
      <c r="B5202" t="s">
        <v>204</v>
      </c>
      <c r="C5202">
        <v>2631</v>
      </c>
      <c r="D5202" t="s">
        <v>204</v>
      </c>
      <c r="E5202">
        <v>2631</v>
      </c>
      <c r="F5202" s="1">
        <v>1.21E-2</v>
      </c>
      <c r="G5202" s="1">
        <v>1E-4</v>
      </c>
      <c r="H5202" s="1">
        <v>1.4E-3</v>
      </c>
      <c r="I5202" s="1">
        <v>1.6999999999999999E-3</v>
      </c>
      <c r="J5202" s="1">
        <v>1E-3</v>
      </c>
      <c r="K5202" s="1">
        <v>1.41E-2</v>
      </c>
      <c r="L5202" s="1">
        <v>0.1303</v>
      </c>
      <c r="M5202" s="1">
        <v>3.3E-3</v>
      </c>
      <c r="N5202" s="1">
        <v>7.9000000000000008E-3</v>
      </c>
      <c r="O5202" s="1">
        <v>1.9E-3</v>
      </c>
      <c r="P5202" s="1">
        <v>4.0000000000000002E-4</v>
      </c>
      <c r="Q5202" s="1">
        <v>0</v>
      </c>
      <c r="R5202" s="1">
        <v>0.65600000000000003</v>
      </c>
      <c r="S5202" s="1">
        <v>0.18079999999999999</v>
      </c>
      <c r="T5202" s="1">
        <v>4.0000000000000001E-3</v>
      </c>
      <c r="U5202" s="1">
        <v>2E-3</v>
      </c>
      <c r="V5202" s="1">
        <v>1.04E-2</v>
      </c>
      <c r="W5202" s="1">
        <v>1.2E-2</v>
      </c>
    </row>
    <row r="5204" spans="1:23" x14ac:dyDescent="0.25">
      <c r="A5204" t="s">
        <v>1069</v>
      </c>
    </row>
    <row r="5205" spans="1:23" x14ac:dyDescent="0.25">
      <c r="A5205" t="s">
        <v>190</v>
      </c>
      <c r="B5205" t="s">
        <v>195</v>
      </c>
      <c r="C5205" t="s">
        <v>189</v>
      </c>
      <c r="D5205" t="s">
        <v>196</v>
      </c>
      <c r="E5205" t="s">
        <v>1070</v>
      </c>
      <c r="F5205" t="s">
        <v>220</v>
      </c>
      <c r="G5205" t="s">
        <v>1071</v>
      </c>
      <c r="H5205" t="s">
        <v>1072</v>
      </c>
      <c r="I5205" t="s">
        <v>271</v>
      </c>
      <c r="J5205" t="s">
        <v>1073</v>
      </c>
    </row>
    <row r="5206" spans="1:23" x14ac:dyDescent="0.25">
      <c r="A5206" t="s">
        <v>198</v>
      </c>
      <c r="B5206">
        <v>82</v>
      </c>
      <c r="C5206" t="s">
        <v>197</v>
      </c>
      <c r="D5206">
        <v>2633</v>
      </c>
      <c r="E5206" s="1">
        <v>0.93720000000000003</v>
      </c>
      <c r="G5206" s="1">
        <v>0.80420000000000003</v>
      </c>
      <c r="H5206" s="1">
        <v>0.97170000000000001</v>
      </c>
      <c r="I5206" s="1">
        <v>2.0799999999999999E-2</v>
      </c>
      <c r="J5206" s="1">
        <v>0.97919999999999996</v>
      </c>
    </row>
    <row r="5207" spans="1:23" x14ac:dyDescent="0.25">
      <c r="A5207" t="s">
        <v>198</v>
      </c>
      <c r="B5207">
        <v>368</v>
      </c>
      <c r="C5207" t="s">
        <v>199</v>
      </c>
      <c r="D5207">
        <v>2633</v>
      </c>
      <c r="E5207" s="1">
        <v>0.95350000000000001</v>
      </c>
      <c r="F5207" s="1">
        <v>1.1999999999999999E-3</v>
      </c>
      <c r="G5207" s="1">
        <v>0.89980000000000004</v>
      </c>
      <c r="H5207" s="1">
        <v>0.98319999999999996</v>
      </c>
      <c r="I5207" s="1">
        <v>9.7000000000000003E-3</v>
      </c>
      <c r="J5207" s="1">
        <v>0.97160000000000002</v>
      </c>
    </row>
    <row r="5208" spans="1:23" x14ac:dyDescent="0.25">
      <c r="A5208" t="s">
        <v>198</v>
      </c>
      <c r="B5208">
        <v>387</v>
      </c>
      <c r="C5208" t="s">
        <v>200</v>
      </c>
      <c r="D5208">
        <v>2633</v>
      </c>
      <c r="E5208" s="1">
        <v>0.95809999999999995</v>
      </c>
      <c r="F5208" s="1">
        <v>3.0999999999999999E-3</v>
      </c>
      <c r="G5208" s="1">
        <v>0.86570000000000003</v>
      </c>
      <c r="H5208" s="1">
        <v>0.96279999999999999</v>
      </c>
      <c r="I5208" s="1">
        <v>2.4E-2</v>
      </c>
      <c r="J5208" s="1">
        <v>0.95620000000000005</v>
      </c>
    </row>
    <row r="5209" spans="1:23" x14ac:dyDescent="0.25">
      <c r="A5209" t="s">
        <v>198</v>
      </c>
      <c r="B5209">
        <v>256</v>
      </c>
      <c r="C5209" t="s">
        <v>201</v>
      </c>
      <c r="D5209">
        <v>2633</v>
      </c>
      <c r="E5209" s="1">
        <v>0.88460000000000005</v>
      </c>
      <c r="G5209" s="1">
        <v>0.8639</v>
      </c>
      <c r="H5209" s="1">
        <v>0.94730000000000003</v>
      </c>
      <c r="I5209" s="1">
        <v>1.8599999999999998E-2</v>
      </c>
      <c r="J5209" s="1">
        <v>0.97789999999999999</v>
      </c>
    </row>
    <row r="5210" spans="1:23" x14ac:dyDescent="0.25">
      <c r="A5210" t="s">
        <v>198</v>
      </c>
      <c r="B5210">
        <v>96</v>
      </c>
      <c r="C5210" t="s">
        <v>202</v>
      </c>
      <c r="D5210">
        <v>2633</v>
      </c>
      <c r="E5210" s="1">
        <v>0.95889999999999997</v>
      </c>
      <c r="G5210" s="1">
        <v>0.89319999999999999</v>
      </c>
      <c r="H5210" s="1">
        <v>0.9758</v>
      </c>
      <c r="I5210" s="1">
        <v>8.0000000000000002E-3</v>
      </c>
      <c r="J5210" s="1">
        <v>0.97599999999999998</v>
      </c>
    </row>
    <row r="5211" spans="1:23" x14ac:dyDescent="0.25">
      <c r="A5211" t="s">
        <v>203</v>
      </c>
      <c r="B5211">
        <v>530</v>
      </c>
      <c r="C5211" t="s">
        <v>199</v>
      </c>
      <c r="D5211">
        <v>2633</v>
      </c>
      <c r="E5211" s="1">
        <v>0.92589999999999995</v>
      </c>
      <c r="F5211" s="1">
        <v>1.1000000000000001E-3</v>
      </c>
      <c r="G5211" s="1">
        <v>0.92559999999999998</v>
      </c>
      <c r="H5211" s="1">
        <v>0.96519999999999995</v>
      </c>
      <c r="I5211" s="1">
        <v>2.41E-2</v>
      </c>
      <c r="J5211" s="1">
        <v>0.96830000000000005</v>
      </c>
    </row>
    <row r="5212" spans="1:23" x14ac:dyDescent="0.25">
      <c r="A5212" t="s">
        <v>203</v>
      </c>
      <c r="B5212">
        <v>503</v>
      </c>
      <c r="C5212" t="s">
        <v>200</v>
      </c>
      <c r="D5212">
        <v>2633</v>
      </c>
      <c r="E5212" s="1">
        <v>0.97709999999999997</v>
      </c>
      <c r="F5212" s="1">
        <v>5.0000000000000001E-4</v>
      </c>
      <c r="G5212" s="1">
        <v>0.95709999999999995</v>
      </c>
      <c r="H5212" s="1">
        <v>0.99539999999999995</v>
      </c>
      <c r="I5212" s="1">
        <v>1.2999999999999999E-3</v>
      </c>
      <c r="J5212" s="1">
        <v>0.99629999999999996</v>
      </c>
    </row>
    <row r="5213" spans="1:23" x14ac:dyDescent="0.25">
      <c r="A5213" t="s">
        <v>203</v>
      </c>
      <c r="B5213">
        <v>321</v>
      </c>
      <c r="C5213" t="s">
        <v>201</v>
      </c>
      <c r="D5213">
        <v>2633</v>
      </c>
      <c r="E5213" s="1">
        <v>0.96650000000000003</v>
      </c>
      <c r="G5213" s="1">
        <v>0.8599</v>
      </c>
      <c r="H5213" s="1">
        <v>0.98499999999999999</v>
      </c>
      <c r="I5213" s="1">
        <v>5.7000000000000002E-3</v>
      </c>
      <c r="J5213" s="1">
        <v>0.98929999999999996</v>
      </c>
    </row>
    <row r="5214" spans="1:23" x14ac:dyDescent="0.25">
      <c r="A5214" t="s">
        <v>203</v>
      </c>
      <c r="B5214">
        <v>90</v>
      </c>
      <c r="C5214" t="s">
        <v>202</v>
      </c>
      <c r="D5214">
        <v>2633</v>
      </c>
      <c r="E5214" s="1">
        <v>1</v>
      </c>
      <c r="G5214" s="1">
        <v>0.93899999999999995</v>
      </c>
      <c r="H5214" s="1">
        <v>1</v>
      </c>
      <c r="J5214" s="1">
        <v>1</v>
      </c>
    </row>
    <row r="5215" spans="1:23" x14ac:dyDescent="0.25">
      <c r="A5215" t="s">
        <v>204</v>
      </c>
      <c r="B5215">
        <v>2633</v>
      </c>
      <c r="C5215" t="s">
        <v>204</v>
      </c>
      <c r="D5215">
        <v>2633</v>
      </c>
      <c r="E5215" s="1">
        <v>0.95699999999999996</v>
      </c>
      <c r="F5215" s="1">
        <v>8.0000000000000004E-4</v>
      </c>
      <c r="G5215" s="1">
        <v>0.90780000000000005</v>
      </c>
      <c r="H5215" s="1">
        <v>0.97989999999999999</v>
      </c>
      <c r="I5215" s="1">
        <v>1.11E-2</v>
      </c>
      <c r="J5215" s="1">
        <v>0.98040000000000005</v>
      </c>
    </row>
    <row r="5217" spans="1:11" x14ac:dyDescent="0.25">
      <c r="A5217" t="s">
        <v>1074</v>
      </c>
    </row>
    <row r="5218" spans="1:11" x14ac:dyDescent="0.25">
      <c r="A5218" t="s">
        <v>190</v>
      </c>
      <c r="B5218" t="s">
        <v>206</v>
      </c>
      <c r="C5218" t="s">
        <v>195</v>
      </c>
      <c r="D5218" t="s">
        <v>189</v>
      </c>
      <c r="E5218" t="s">
        <v>196</v>
      </c>
      <c r="F5218" t="s">
        <v>1070</v>
      </c>
      <c r="G5218" t="s">
        <v>220</v>
      </c>
      <c r="H5218" t="s">
        <v>1071</v>
      </c>
      <c r="I5218" t="s">
        <v>1072</v>
      </c>
      <c r="J5218" t="s">
        <v>271</v>
      </c>
      <c r="K5218" t="s">
        <v>1073</v>
      </c>
    </row>
    <row r="5219" spans="1:11" x14ac:dyDescent="0.25">
      <c r="A5219" t="s">
        <v>198</v>
      </c>
      <c r="B5219" t="s">
        <v>228</v>
      </c>
      <c r="C5219">
        <v>33</v>
      </c>
      <c r="D5219" t="s">
        <v>197</v>
      </c>
      <c r="E5219">
        <v>2633</v>
      </c>
      <c r="F5219" s="1">
        <v>0.95179999999999998</v>
      </c>
      <c r="H5219" s="1">
        <v>0.59860000000000002</v>
      </c>
      <c r="I5219" s="1">
        <v>0.95179999999999998</v>
      </c>
      <c r="J5219" s="1">
        <v>4.82E-2</v>
      </c>
      <c r="K5219" s="1">
        <v>0.95179999999999998</v>
      </c>
    </row>
    <row r="5220" spans="1:11" x14ac:dyDescent="0.25">
      <c r="A5220" t="s">
        <v>198</v>
      </c>
      <c r="B5220" t="s">
        <v>229</v>
      </c>
      <c r="C5220">
        <v>49</v>
      </c>
      <c r="D5220" t="s">
        <v>197</v>
      </c>
      <c r="E5220">
        <v>2633</v>
      </c>
      <c r="F5220" s="1">
        <v>0.92600000000000005</v>
      </c>
      <c r="H5220" s="1">
        <v>0.96050000000000002</v>
      </c>
      <c r="I5220" s="1">
        <v>0.98680000000000001</v>
      </c>
      <c r="K5220" s="1">
        <v>1</v>
      </c>
    </row>
    <row r="5221" spans="1:11" x14ac:dyDescent="0.25">
      <c r="A5221" t="s">
        <v>198</v>
      </c>
      <c r="B5221" t="s">
        <v>228</v>
      </c>
      <c r="C5221">
        <v>145</v>
      </c>
      <c r="D5221" t="s">
        <v>199</v>
      </c>
      <c r="E5221">
        <v>2633</v>
      </c>
      <c r="F5221" s="1">
        <v>0.94550000000000001</v>
      </c>
      <c r="G5221" s="1">
        <v>4.4999999999999997E-3</v>
      </c>
      <c r="H5221" s="1">
        <v>0.80179999999999996</v>
      </c>
      <c r="I5221" s="1">
        <v>0.95960000000000001</v>
      </c>
      <c r="J5221" s="1">
        <v>2.1600000000000001E-2</v>
      </c>
      <c r="K5221" s="1">
        <v>0.97099999999999997</v>
      </c>
    </row>
    <row r="5222" spans="1:11" x14ac:dyDescent="0.25">
      <c r="A5222" t="s">
        <v>198</v>
      </c>
      <c r="B5222" t="s">
        <v>229</v>
      </c>
      <c r="C5222">
        <v>213</v>
      </c>
      <c r="D5222" t="s">
        <v>199</v>
      </c>
      <c r="E5222">
        <v>2633</v>
      </c>
      <c r="F5222" s="1">
        <v>0.95579999999999998</v>
      </c>
      <c r="H5222" s="1">
        <v>0.93300000000000005</v>
      </c>
      <c r="I5222" s="1">
        <v>0.99129999999999996</v>
      </c>
      <c r="J5222" s="1">
        <v>5.7000000000000002E-3</v>
      </c>
      <c r="K5222" s="1">
        <v>0.97160000000000002</v>
      </c>
    </row>
    <row r="5223" spans="1:11" x14ac:dyDescent="0.25">
      <c r="A5223" t="s">
        <v>198</v>
      </c>
      <c r="B5223" t="s">
        <v>229</v>
      </c>
      <c r="C5223">
        <v>270</v>
      </c>
      <c r="D5223" t="s">
        <v>200</v>
      </c>
      <c r="E5223">
        <v>2633</v>
      </c>
      <c r="F5223" s="1">
        <v>0.95230000000000004</v>
      </c>
      <c r="G5223" s="1">
        <v>4.0000000000000001E-3</v>
      </c>
      <c r="H5223" s="1">
        <v>0.92030000000000001</v>
      </c>
      <c r="I5223" s="1">
        <v>0.95699999999999996</v>
      </c>
      <c r="J5223" s="1">
        <v>2.7E-2</v>
      </c>
      <c r="K5223" s="1">
        <v>0.95379999999999998</v>
      </c>
    </row>
    <row r="5224" spans="1:11" x14ac:dyDescent="0.25">
      <c r="A5224" t="s">
        <v>198</v>
      </c>
      <c r="B5224" t="s">
        <v>228</v>
      </c>
      <c r="C5224">
        <v>112</v>
      </c>
      <c r="D5224" t="s">
        <v>200</v>
      </c>
      <c r="E5224">
        <v>2633</v>
      </c>
      <c r="F5224" s="1">
        <v>0.97589999999999999</v>
      </c>
      <c r="H5224" s="1">
        <v>0.68189999999999995</v>
      </c>
      <c r="I5224" s="1">
        <v>0.98099999999999998</v>
      </c>
      <c r="J5224" s="1">
        <v>1.49E-2</v>
      </c>
      <c r="K5224" s="1">
        <v>0.96260000000000001</v>
      </c>
    </row>
    <row r="5225" spans="1:11" x14ac:dyDescent="0.25">
      <c r="A5225" t="s">
        <v>198</v>
      </c>
      <c r="B5225" t="s">
        <v>228</v>
      </c>
      <c r="C5225">
        <v>95</v>
      </c>
      <c r="D5225" t="s">
        <v>201</v>
      </c>
      <c r="E5225">
        <v>2633</v>
      </c>
      <c r="F5225" s="1">
        <v>0.92630000000000001</v>
      </c>
      <c r="H5225" s="1">
        <v>0.69669999999999999</v>
      </c>
      <c r="I5225" s="1">
        <v>0.93659999999999999</v>
      </c>
      <c r="J5225" s="1">
        <v>8.8000000000000005E-3</v>
      </c>
      <c r="K5225" s="1">
        <v>0.97460000000000002</v>
      </c>
    </row>
    <row r="5226" spans="1:11" x14ac:dyDescent="0.25">
      <c r="A5226" t="s">
        <v>198</v>
      </c>
      <c r="B5226" t="s">
        <v>229</v>
      </c>
      <c r="C5226">
        <v>155</v>
      </c>
      <c r="D5226" t="s">
        <v>201</v>
      </c>
      <c r="E5226">
        <v>2633</v>
      </c>
      <c r="F5226" s="1">
        <v>0.87770000000000004</v>
      </c>
      <c r="H5226" s="1">
        <v>0.91410000000000002</v>
      </c>
      <c r="I5226" s="1">
        <v>0.94989999999999997</v>
      </c>
      <c r="J5226" s="1">
        <v>2.1100000000000001E-2</v>
      </c>
      <c r="K5226" s="1">
        <v>0.97889999999999999</v>
      </c>
    </row>
    <row r="5227" spans="1:11" s="29" customFormat="1" x14ac:dyDescent="0.25">
      <c r="A5227" s="29" t="s">
        <v>198</v>
      </c>
      <c r="B5227" s="29" t="s">
        <v>228</v>
      </c>
      <c r="C5227" s="29">
        <v>28</v>
      </c>
      <c r="D5227" s="29" t="s">
        <v>202</v>
      </c>
      <c r="E5227" s="29">
        <v>2633</v>
      </c>
      <c r="F5227" s="30">
        <v>0.95540000000000003</v>
      </c>
      <c r="H5227" s="30">
        <v>0.62670000000000003</v>
      </c>
      <c r="I5227" s="30">
        <v>0.89780000000000004</v>
      </c>
      <c r="J5227" s="30">
        <v>3.39E-2</v>
      </c>
      <c r="K5227" s="30">
        <v>0.93230000000000002</v>
      </c>
    </row>
    <row r="5228" spans="1:11" x14ac:dyDescent="0.25">
      <c r="A5228" t="s">
        <v>198</v>
      </c>
      <c r="B5228" t="s">
        <v>229</v>
      </c>
      <c r="C5228">
        <v>68</v>
      </c>
      <c r="D5228" t="s">
        <v>202</v>
      </c>
      <c r="E5228">
        <v>2633</v>
      </c>
      <c r="F5228" s="1">
        <v>0.96</v>
      </c>
      <c r="H5228" s="1">
        <v>0.97570000000000001</v>
      </c>
      <c r="I5228" s="1">
        <v>1</v>
      </c>
      <c r="K5228" s="1">
        <v>0.98950000000000005</v>
      </c>
    </row>
    <row r="5229" spans="1:11" x14ac:dyDescent="0.25">
      <c r="A5229" t="s">
        <v>203</v>
      </c>
      <c r="B5229" t="s">
        <v>229</v>
      </c>
      <c r="C5229">
        <v>370</v>
      </c>
      <c r="D5229" t="s">
        <v>199</v>
      </c>
      <c r="E5229">
        <v>2633</v>
      </c>
      <c r="F5229" s="1">
        <v>0.93020000000000003</v>
      </c>
      <c r="G5229" s="1">
        <v>5.9999999999999995E-4</v>
      </c>
      <c r="H5229" s="1">
        <v>0.93869999999999998</v>
      </c>
      <c r="I5229" s="1">
        <v>0.96719999999999995</v>
      </c>
      <c r="J5229" s="1">
        <v>2.2100000000000002E-2</v>
      </c>
      <c r="K5229" s="1">
        <v>0.97009999999999996</v>
      </c>
    </row>
    <row r="5230" spans="1:11" x14ac:dyDescent="0.25">
      <c r="A5230" t="s">
        <v>203</v>
      </c>
      <c r="B5230" t="s">
        <v>228</v>
      </c>
      <c r="C5230">
        <v>150</v>
      </c>
      <c r="D5230" t="s">
        <v>199</v>
      </c>
      <c r="E5230">
        <v>2633</v>
      </c>
      <c r="F5230" s="1">
        <v>0.88639999999999997</v>
      </c>
      <c r="G5230" s="1">
        <v>4.7999999999999996E-3</v>
      </c>
      <c r="H5230" s="1">
        <v>0.81610000000000005</v>
      </c>
      <c r="I5230" s="1">
        <v>0.94689999999999996</v>
      </c>
      <c r="J5230" s="1">
        <v>4.19E-2</v>
      </c>
      <c r="K5230" s="1">
        <v>0.95140000000000002</v>
      </c>
    </row>
    <row r="5231" spans="1:11" x14ac:dyDescent="0.25">
      <c r="A5231" t="s">
        <v>203</v>
      </c>
      <c r="B5231" t="s">
        <v>229</v>
      </c>
      <c r="C5231">
        <v>347</v>
      </c>
      <c r="D5231" t="s">
        <v>200</v>
      </c>
      <c r="E5231">
        <v>2633</v>
      </c>
      <c r="F5231" s="1">
        <v>0.97419999999999995</v>
      </c>
      <c r="G5231" s="1">
        <v>5.9999999999999995E-4</v>
      </c>
      <c r="H5231" s="1">
        <v>0.97589999999999999</v>
      </c>
      <c r="I5231" s="1">
        <v>0.99580000000000002</v>
      </c>
      <c r="J5231" s="1">
        <v>1.4E-3</v>
      </c>
      <c r="K5231" s="1">
        <v>0.99650000000000005</v>
      </c>
    </row>
    <row r="5232" spans="1:11" x14ac:dyDescent="0.25">
      <c r="A5232" t="s">
        <v>203</v>
      </c>
      <c r="B5232" t="s">
        <v>228</v>
      </c>
      <c r="C5232">
        <v>155</v>
      </c>
      <c r="D5232" t="s">
        <v>200</v>
      </c>
      <c r="E5232">
        <v>2633</v>
      </c>
      <c r="F5232" s="1">
        <v>0.98919999999999997</v>
      </c>
      <c r="H5232" s="1">
        <v>0.87860000000000005</v>
      </c>
      <c r="I5232" s="1">
        <v>0.99390000000000001</v>
      </c>
      <c r="J5232" s="1">
        <v>5.9999999999999995E-4</v>
      </c>
      <c r="K5232" s="1">
        <v>0.99509999999999998</v>
      </c>
    </row>
    <row r="5233" spans="1:11" x14ac:dyDescent="0.25">
      <c r="A5233" t="s">
        <v>203</v>
      </c>
      <c r="B5233" t="s">
        <v>229</v>
      </c>
      <c r="C5233">
        <v>137</v>
      </c>
      <c r="D5233" t="s">
        <v>201</v>
      </c>
      <c r="E5233">
        <v>2633</v>
      </c>
      <c r="F5233" s="1">
        <v>0.96440000000000003</v>
      </c>
      <c r="H5233" s="1">
        <v>0.93530000000000002</v>
      </c>
      <c r="I5233" s="1">
        <v>0.99370000000000003</v>
      </c>
      <c r="J5233" s="1">
        <v>3.0999999999999999E-3</v>
      </c>
      <c r="K5233" s="1">
        <v>0.9929</v>
      </c>
    </row>
    <row r="5234" spans="1:11" x14ac:dyDescent="0.25">
      <c r="A5234" t="s">
        <v>203</v>
      </c>
      <c r="B5234" t="s">
        <v>228</v>
      </c>
      <c r="C5234">
        <v>177</v>
      </c>
      <c r="D5234" t="s">
        <v>201</v>
      </c>
      <c r="E5234">
        <v>2633</v>
      </c>
      <c r="F5234" s="1">
        <v>0.97450000000000003</v>
      </c>
      <c r="H5234" s="1">
        <v>0.62229999999999996</v>
      </c>
      <c r="I5234" s="1">
        <v>0.95960000000000001</v>
      </c>
      <c r="J5234" s="1">
        <v>1.24E-2</v>
      </c>
      <c r="K5234" s="1">
        <v>0.98019999999999996</v>
      </c>
    </row>
    <row r="5235" spans="1:11" x14ac:dyDescent="0.25">
      <c r="A5235" t="s">
        <v>203</v>
      </c>
      <c r="B5235" t="s">
        <v>228</v>
      </c>
      <c r="C5235">
        <v>34</v>
      </c>
      <c r="D5235" t="s">
        <v>202</v>
      </c>
      <c r="E5235">
        <v>2633</v>
      </c>
      <c r="F5235" s="1">
        <v>1</v>
      </c>
      <c r="H5235" s="1">
        <v>0.86909999999999998</v>
      </c>
      <c r="I5235" s="1">
        <v>1</v>
      </c>
      <c r="K5235" s="1">
        <v>1</v>
      </c>
    </row>
    <row r="5236" spans="1:11" x14ac:dyDescent="0.25">
      <c r="A5236" t="s">
        <v>203</v>
      </c>
      <c r="B5236" t="s">
        <v>229</v>
      </c>
      <c r="C5236">
        <v>56</v>
      </c>
      <c r="D5236" t="s">
        <v>202</v>
      </c>
      <c r="E5236">
        <v>2633</v>
      </c>
      <c r="F5236" s="1">
        <v>1</v>
      </c>
      <c r="H5236" s="1">
        <v>0.96660000000000001</v>
      </c>
      <c r="I5236" s="1">
        <v>1</v>
      </c>
      <c r="K5236" s="1">
        <v>1</v>
      </c>
    </row>
    <row r="5237" spans="1:11" x14ac:dyDescent="0.25">
      <c r="A5237" t="s">
        <v>204</v>
      </c>
      <c r="B5237" t="s">
        <v>204</v>
      </c>
      <c r="C5237">
        <v>2633</v>
      </c>
      <c r="D5237" t="s">
        <v>204</v>
      </c>
      <c r="E5237">
        <v>2633</v>
      </c>
      <c r="F5237" s="1">
        <v>0.95699999999999996</v>
      </c>
      <c r="G5237" s="1">
        <v>8.0000000000000004E-4</v>
      </c>
      <c r="H5237" s="1">
        <v>0.90780000000000005</v>
      </c>
      <c r="I5237" s="1">
        <v>0.97989999999999999</v>
      </c>
      <c r="J5237" s="1">
        <v>1.11E-2</v>
      </c>
      <c r="K5237" s="1">
        <v>0.98040000000000005</v>
      </c>
    </row>
    <row r="5239" spans="1:11" x14ac:dyDescent="0.25">
      <c r="A5239" t="s">
        <v>1075</v>
      </c>
    </row>
    <row r="5240" spans="1:11" x14ac:dyDescent="0.25">
      <c r="A5240" t="s">
        <v>190</v>
      </c>
      <c r="B5240" t="s">
        <v>206</v>
      </c>
      <c r="C5240" t="s">
        <v>195</v>
      </c>
      <c r="D5240" t="s">
        <v>189</v>
      </c>
      <c r="E5240" t="s">
        <v>196</v>
      </c>
      <c r="F5240" t="s">
        <v>1070</v>
      </c>
      <c r="G5240" t="s">
        <v>220</v>
      </c>
      <c r="H5240" t="s">
        <v>1071</v>
      </c>
      <c r="I5240" t="s">
        <v>1072</v>
      </c>
      <c r="J5240" t="s">
        <v>271</v>
      </c>
      <c r="K5240" t="s">
        <v>1073</v>
      </c>
    </row>
    <row r="5241" spans="1:11" x14ac:dyDescent="0.25">
      <c r="A5241" t="s">
        <v>198</v>
      </c>
      <c r="B5241" t="s">
        <v>348</v>
      </c>
      <c r="C5241">
        <v>79</v>
      </c>
      <c r="D5241" t="s">
        <v>197</v>
      </c>
      <c r="E5241">
        <v>2633</v>
      </c>
      <c r="F5241" s="1">
        <v>0.93500000000000005</v>
      </c>
      <c r="H5241" s="1">
        <v>0.79749999999999999</v>
      </c>
      <c r="I5241" s="1">
        <v>0.97070000000000001</v>
      </c>
      <c r="J5241" s="1">
        <v>2.1499999999999998E-2</v>
      </c>
      <c r="K5241" s="1">
        <v>0.97850000000000004</v>
      </c>
    </row>
    <row r="5242" spans="1:11" s="29" customFormat="1" x14ac:dyDescent="0.25">
      <c r="A5242" s="29" t="s">
        <v>198</v>
      </c>
      <c r="B5242" s="29" t="s">
        <v>349</v>
      </c>
      <c r="C5242" s="29">
        <v>3</v>
      </c>
      <c r="D5242" s="29" t="s">
        <v>197</v>
      </c>
      <c r="E5242" s="29">
        <v>2633</v>
      </c>
      <c r="F5242" s="30">
        <v>1</v>
      </c>
      <c r="H5242" s="30">
        <v>1</v>
      </c>
      <c r="I5242" s="30">
        <v>1</v>
      </c>
      <c r="K5242" s="30">
        <v>1</v>
      </c>
    </row>
    <row r="5243" spans="1:11" x14ac:dyDescent="0.25">
      <c r="A5243" t="s">
        <v>198</v>
      </c>
      <c r="B5243" t="s">
        <v>348</v>
      </c>
      <c r="C5243">
        <v>54</v>
      </c>
      <c r="D5243" t="s">
        <v>199</v>
      </c>
      <c r="E5243">
        <v>2633</v>
      </c>
      <c r="F5243" s="1">
        <v>0.96850000000000003</v>
      </c>
      <c r="H5243" s="1">
        <v>0.74319999999999997</v>
      </c>
      <c r="I5243" s="1">
        <v>0.97699999999999998</v>
      </c>
      <c r="J5243" s="1">
        <v>2.06E-2</v>
      </c>
      <c r="K5243" s="1">
        <v>0.97699999999999998</v>
      </c>
    </row>
    <row r="5244" spans="1:11" x14ac:dyDescent="0.25">
      <c r="A5244" t="s">
        <v>198</v>
      </c>
      <c r="B5244" t="s">
        <v>349</v>
      </c>
      <c r="C5244">
        <v>111</v>
      </c>
      <c r="D5244" t="s">
        <v>199</v>
      </c>
      <c r="E5244">
        <v>2633</v>
      </c>
      <c r="F5244" s="1">
        <v>0.93989999999999996</v>
      </c>
      <c r="H5244" s="1">
        <v>0.90129999999999999</v>
      </c>
      <c r="I5244" s="1">
        <v>0.98939999999999995</v>
      </c>
      <c r="J5244" s="1">
        <v>6.7999999999999996E-3</v>
      </c>
      <c r="K5244" s="1">
        <v>0.96289999999999998</v>
      </c>
    </row>
    <row r="5245" spans="1:11" x14ac:dyDescent="0.25">
      <c r="A5245" t="s">
        <v>198</v>
      </c>
      <c r="B5245" t="s">
        <v>350</v>
      </c>
      <c r="C5245">
        <v>193</v>
      </c>
      <c r="D5245" t="s">
        <v>199</v>
      </c>
      <c r="E5245">
        <v>2633</v>
      </c>
      <c r="F5245" s="1">
        <v>0.96260000000000001</v>
      </c>
      <c r="G5245" s="1">
        <v>2.8E-3</v>
      </c>
      <c r="H5245" s="1">
        <v>0.94989999999999997</v>
      </c>
      <c r="I5245" s="1">
        <v>0.97819999999999996</v>
      </c>
      <c r="J5245" s="1">
        <v>9.2999999999999992E-3</v>
      </c>
      <c r="K5245" s="1">
        <v>0.97899999999999998</v>
      </c>
    </row>
    <row r="5246" spans="1:11" x14ac:dyDescent="0.25">
      <c r="A5246" t="s">
        <v>198</v>
      </c>
      <c r="B5246" t="s">
        <v>350</v>
      </c>
      <c r="C5246">
        <v>78</v>
      </c>
      <c r="D5246" t="s">
        <v>200</v>
      </c>
      <c r="E5246">
        <v>2633</v>
      </c>
      <c r="F5246" s="1">
        <v>0.93579999999999997</v>
      </c>
      <c r="H5246" s="1">
        <v>0.79749999999999999</v>
      </c>
      <c r="I5246" s="1">
        <v>0.90369999999999995</v>
      </c>
      <c r="J5246" s="1">
        <v>3.2099999999999997E-2</v>
      </c>
      <c r="K5246" s="1">
        <v>0.93440000000000001</v>
      </c>
    </row>
    <row r="5247" spans="1:11" x14ac:dyDescent="0.25">
      <c r="A5247" t="s">
        <v>198</v>
      </c>
      <c r="B5247" t="s">
        <v>348</v>
      </c>
      <c r="C5247">
        <v>242</v>
      </c>
      <c r="D5247" t="s">
        <v>200</v>
      </c>
      <c r="E5247">
        <v>2633</v>
      </c>
      <c r="F5247" s="1">
        <v>0.95750000000000002</v>
      </c>
      <c r="G5247" s="1">
        <v>3.5999999999999999E-3</v>
      </c>
      <c r="H5247" s="1">
        <v>0.88570000000000004</v>
      </c>
      <c r="I5247" s="1">
        <v>0.96599999999999997</v>
      </c>
      <c r="J5247" s="1">
        <v>2.52E-2</v>
      </c>
      <c r="K5247" s="1">
        <v>0.9607</v>
      </c>
    </row>
    <row r="5248" spans="1:11" x14ac:dyDescent="0.25">
      <c r="A5248" t="s">
        <v>198</v>
      </c>
      <c r="B5248" t="s">
        <v>349</v>
      </c>
      <c r="C5248">
        <v>62</v>
      </c>
      <c r="D5248" t="s">
        <v>200</v>
      </c>
      <c r="E5248">
        <v>2633</v>
      </c>
      <c r="F5248" s="1">
        <v>0.98799999999999999</v>
      </c>
      <c r="H5248" s="1">
        <v>0.63339999999999996</v>
      </c>
      <c r="I5248" s="1">
        <v>0.98350000000000004</v>
      </c>
      <c r="K5248" s="1">
        <v>0.90969999999999995</v>
      </c>
    </row>
    <row r="5249" spans="1:11" x14ac:dyDescent="0.25">
      <c r="A5249" t="s">
        <v>198</v>
      </c>
      <c r="B5249" t="s">
        <v>349</v>
      </c>
      <c r="C5249">
        <v>125</v>
      </c>
      <c r="D5249" t="s">
        <v>201</v>
      </c>
      <c r="E5249">
        <v>2633</v>
      </c>
      <c r="F5249" s="1">
        <v>0.85750000000000004</v>
      </c>
      <c r="H5249" s="1">
        <v>0.90059999999999996</v>
      </c>
      <c r="I5249" s="1">
        <v>0.94840000000000002</v>
      </c>
      <c r="J5249" s="1">
        <v>2.3900000000000001E-2</v>
      </c>
      <c r="K5249" s="1">
        <v>0.97560000000000002</v>
      </c>
    </row>
    <row r="5250" spans="1:11" x14ac:dyDescent="0.25">
      <c r="A5250" t="s">
        <v>198</v>
      </c>
      <c r="B5250" t="s">
        <v>350</v>
      </c>
      <c r="C5250">
        <v>63</v>
      </c>
      <c r="D5250" t="s">
        <v>201</v>
      </c>
      <c r="E5250">
        <v>2633</v>
      </c>
      <c r="F5250" s="1">
        <v>0.94199999999999995</v>
      </c>
      <c r="H5250" s="1">
        <v>0.84009999999999996</v>
      </c>
      <c r="I5250" s="1">
        <v>0.97140000000000004</v>
      </c>
      <c r="J5250" s="1">
        <v>1.3899999999999999E-2</v>
      </c>
      <c r="K5250" s="1">
        <v>0.97919999999999996</v>
      </c>
    </row>
    <row r="5251" spans="1:11" x14ac:dyDescent="0.25">
      <c r="A5251" t="s">
        <v>198</v>
      </c>
      <c r="B5251" t="s">
        <v>348</v>
      </c>
      <c r="C5251">
        <v>62</v>
      </c>
      <c r="D5251" t="s">
        <v>201</v>
      </c>
      <c r="E5251">
        <v>2633</v>
      </c>
      <c r="F5251" s="1">
        <v>0.96030000000000004</v>
      </c>
      <c r="H5251" s="1">
        <v>0.78359999999999996</v>
      </c>
      <c r="I5251" s="1">
        <v>0.93920000000000003</v>
      </c>
      <c r="J5251" s="1">
        <v>4.7999999999999996E-3</v>
      </c>
      <c r="K5251" s="1">
        <v>0.9839</v>
      </c>
    </row>
    <row r="5252" spans="1:11" x14ac:dyDescent="0.25">
      <c r="A5252" t="s">
        <v>198</v>
      </c>
      <c r="B5252" t="s">
        <v>348</v>
      </c>
      <c r="C5252">
        <v>96</v>
      </c>
      <c r="D5252" t="s">
        <v>202</v>
      </c>
      <c r="E5252">
        <v>2633</v>
      </c>
      <c r="F5252" s="1">
        <v>0.95889999999999997</v>
      </c>
      <c r="H5252" s="1">
        <v>0.89319999999999999</v>
      </c>
      <c r="I5252" s="1">
        <v>0.9758</v>
      </c>
      <c r="J5252" s="1">
        <v>8.0000000000000002E-3</v>
      </c>
      <c r="K5252" s="1">
        <v>0.97599999999999998</v>
      </c>
    </row>
    <row r="5253" spans="1:11" x14ac:dyDescent="0.25">
      <c r="A5253" t="s">
        <v>203</v>
      </c>
      <c r="B5253" t="s">
        <v>349</v>
      </c>
      <c r="C5253">
        <v>171</v>
      </c>
      <c r="D5253" t="s">
        <v>199</v>
      </c>
      <c r="E5253">
        <v>2633</v>
      </c>
      <c r="F5253" s="1">
        <v>0.85009999999999997</v>
      </c>
      <c r="G5253" s="1">
        <v>3.3E-3</v>
      </c>
      <c r="H5253" s="1">
        <v>0.88149999999999995</v>
      </c>
      <c r="I5253" s="1">
        <v>0.95840000000000003</v>
      </c>
      <c r="J5253" s="1">
        <v>2.07E-2</v>
      </c>
      <c r="K5253" s="1">
        <v>0.96299999999999997</v>
      </c>
    </row>
    <row r="5254" spans="1:11" x14ac:dyDescent="0.25">
      <c r="A5254" t="s">
        <v>203</v>
      </c>
      <c r="B5254" t="s">
        <v>348</v>
      </c>
      <c r="C5254">
        <v>42</v>
      </c>
      <c r="D5254" t="s">
        <v>199</v>
      </c>
      <c r="E5254">
        <v>2633</v>
      </c>
      <c r="F5254" s="1">
        <v>1</v>
      </c>
      <c r="H5254" s="1">
        <v>0.92649999999999999</v>
      </c>
      <c r="I5254" s="1">
        <v>1</v>
      </c>
      <c r="K5254" s="1">
        <v>1</v>
      </c>
    </row>
    <row r="5255" spans="1:11" x14ac:dyDescent="0.25">
      <c r="A5255" t="s">
        <v>203</v>
      </c>
      <c r="B5255" t="s">
        <v>350</v>
      </c>
      <c r="C5255">
        <v>307</v>
      </c>
      <c r="D5255" t="s">
        <v>199</v>
      </c>
      <c r="E5255">
        <v>2633</v>
      </c>
      <c r="F5255" s="1">
        <v>0.95930000000000004</v>
      </c>
      <c r="H5255" s="1">
        <v>0.94840000000000002</v>
      </c>
      <c r="I5255" s="1">
        <v>0.96619999999999995</v>
      </c>
      <c r="J5255" s="1">
        <v>2.76E-2</v>
      </c>
      <c r="K5255" s="1">
        <v>0.96870000000000001</v>
      </c>
    </row>
    <row r="5256" spans="1:11" x14ac:dyDescent="0.25">
      <c r="A5256" t="s">
        <v>203</v>
      </c>
      <c r="B5256" t="s">
        <v>348</v>
      </c>
      <c r="C5256">
        <v>300</v>
      </c>
      <c r="D5256" t="s">
        <v>200</v>
      </c>
      <c r="E5256">
        <v>2633</v>
      </c>
      <c r="F5256" s="1">
        <v>0.97689999999999999</v>
      </c>
      <c r="H5256" s="1">
        <v>0.96209999999999996</v>
      </c>
      <c r="I5256" s="1">
        <v>0.99909999999999999</v>
      </c>
      <c r="K5256" s="1">
        <v>0.99909999999999999</v>
      </c>
    </row>
    <row r="5257" spans="1:11" x14ac:dyDescent="0.25">
      <c r="A5257" t="s">
        <v>203</v>
      </c>
      <c r="B5257" t="s">
        <v>349</v>
      </c>
      <c r="C5257">
        <v>108</v>
      </c>
      <c r="D5257" t="s">
        <v>200</v>
      </c>
      <c r="E5257">
        <v>2633</v>
      </c>
      <c r="F5257" s="1">
        <v>0.99860000000000004</v>
      </c>
      <c r="H5257" s="1">
        <v>0.92320000000000002</v>
      </c>
      <c r="I5257" s="1">
        <v>0.98329999999999995</v>
      </c>
      <c r="J5257" s="1">
        <v>1.4E-3</v>
      </c>
      <c r="K5257" s="1">
        <v>0.99070000000000003</v>
      </c>
    </row>
    <row r="5258" spans="1:11" x14ac:dyDescent="0.25">
      <c r="A5258" t="s">
        <v>203</v>
      </c>
      <c r="B5258" t="s">
        <v>350</v>
      </c>
      <c r="C5258">
        <v>94</v>
      </c>
      <c r="D5258" t="s">
        <v>200</v>
      </c>
      <c r="E5258">
        <v>2633</v>
      </c>
      <c r="F5258" s="1">
        <v>0.93130000000000002</v>
      </c>
      <c r="G5258" s="1">
        <v>1.55E-2</v>
      </c>
      <c r="H5258" s="1">
        <v>0.90569999999999995</v>
      </c>
      <c r="I5258" s="1">
        <v>0.92789999999999995</v>
      </c>
      <c r="J5258" s="1">
        <v>3.44E-2</v>
      </c>
      <c r="K5258" s="1">
        <v>0.93469999999999998</v>
      </c>
    </row>
    <row r="5259" spans="1:11" x14ac:dyDescent="0.25">
      <c r="A5259" t="s">
        <v>203</v>
      </c>
      <c r="B5259" t="s">
        <v>348</v>
      </c>
      <c r="C5259">
        <v>62</v>
      </c>
      <c r="D5259" t="s">
        <v>201</v>
      </c>
      <c r="E5259">
        <v>2633</v>
      </c>
      <c r="F5259" s="1">
        <v>0.98740000000000006</v>
      </c>
      <c r="H5259" s="1">
        <v>0.7238</v>
      </c>
      <c r="I5259" s="1">
        <v>0.98219999999999996</v>
      </c>
      <c r="J5259" s="1">
        <v>1.26E-2</v>
      </c>
      <c r="K5259" s="1">
        <v>0.98740000000000006</v>
      </c>
    </row>
    <row r="5260" spans="1:11" x14ac:dyDescent="0.25">
      <c r="A5260" t="s">
        <v>203</v>
      </c>
      <c r="B5260" t="s">
        <v>349</v>
      </c>
      <c r="C5260">
        <v>147</v>
      </c>
      <c r="D5260" t="s">
        <v>201</v>
      </c>
      <c r="E5260">
        <v>2633</v>
      </c>
      <c r="F5260" s="1">
        <v>0.97009999999999996</v>
      </c>
      <c r="H5260" s="1">
        <v>0.877</v>
      </c>
      <c r="I5260" s="1">
        <v>0.99019999999999997</v>
      </c>
      <c r="J5260" s="1">
        <v>5.0000000000000001E-4</v>
      </c>
      <c r="K5260" s="1">
        <v>0.99550000000000005</v>
      </c>
    </row>
    <row r="5261" spans="1:11" x14ac:dyDescent="0.25">
      <c r="A5261" t="s">
        <v>203</v>
      </c>
      <c r="B5261" t="s">
        <v>350</v>
      </c>
      <c r="C5261">
        <v>105</v>
      </c>
      <c r="D5261" t="s">
        <v>201</v>
      </c>
      <c r="E5261">
        <v>2633</v>
      </c>
      <c r="F5261" s="1">
        <v>0.89680000000000004</v>
      </c>
      <c r="H5261" s="1">
        <v>0.88100000000000001</v>
      </c>
      <c r="I5261" s="1">
        <v>0.93730000000000002</v>
      </c>
      <c r="J5261" s="1">
        <v>4.9000000000000002E-2</v>
      </c>
      <c r="K5261" s="1">
        <v>0.92930000000000001</v>
      </c>
    </row>
    <row r="5262" spans="1:11" x14ac:dyDescent="0.25">
      <c r="A5262" t="s">
        <v>203</v>
      </c>
      <c r="B5262" t="s">
        <v>348</v>
      </c>
      <c r="C5262">
        <v>90</v>
      </c>
      <c r="D5262" t="s">
        <v>202</v>
      </c>
      <c r="E5262">
        <v>2633</v>
      </c>
      <c r="F5262" s="1">
        <v>1</v>
      </c>
      <c r="H5262" s="1">
        <v>0.93899999999999995</v>
      </c>
      <c r="I5262" s="1">
        <v>1</v>
      </c>
      <c r="K5262" s="1">
        <v>1</v>
      </c>
    </row>
    <row r="5263" spans="1:11" x14ac:dyDescent="0.25">
      <c r="A5263" t="s">
        <v>204</v>
      </c>
      <c r="B5263" t="s">
        <v>204</v>
      </c>
      <c r="C5263">
        <v>2633</v>
      </c>
      <c r="D5263" t="s">
        <v>204</v>
      </c>
      <c r="E5263">
        <v>2633</v>
      </c>
      <c r="F5263" s="1">
        <v>0.95699999999999996</v>
      </c>
      <c r="G5263" s="1">
        <v>8.0000000000000004E-4</v>
      </c>
      <c r="H5263" s="1">
        <v>0.90780000000000005</v>
      </c>
      <c r="I5263" s="1">
        <v>0.97989999999999999</v>
      </c>
      <c r="J5263" s="1">
        <v>1.11E-2</v>
      </c>
      <c r="K5263" s="1">
        <v>0.98040000000000005</v>
      </c>
    </row>
    <row r="5265" spans="1:9" x14ac:dyDescent="0.25">
      <c r="A5265" t="s">
        <v>1076</v>
      </c>
    </row>
    <row r="5266" spans="1:9" x14ac:dyDescent="0.25">
      <c r="A5266" t="s">
        <v>190</v>
      </c>
      <c r="B5266" t="s">
        <v>195</v>
      </c>
      <c r="C5266" t="s">
        <v>189</v>
      </c>
      <c r="D5266" t="s">
        <v>196</v>
      </c>
      <c r="E5266" t="s">
        <v>220</v>
      </c>
      <c r="F5266" t="s">
        <v>952</v>
      </c>
      <c r="G5266" t="s">
        <v>954</v>
      </c>
      <c r="H5266" t="s">
        <v>955</v>
      </c>
    </row>
    <row r="5267" spans="1:9" x14ac:dyDescent="0.25">
      <c r="A5267" t="s">
        <v>198</v>
      </c>
      <c r="B5267">
        <v>82</v>
      </c>
      <c r="C5267" t="s">
        <v>197</v>
      </c>
      <c r="D5267">
        <v>2633</v>
      </c>
      <c r="F5267" s="1">
        <v>2.9899999999999999E-2</v>
      </c>
      <c r="G5267" s="1">
        <v>0.18440000000000001</v>
      </c>
      <c r="H5267" s="1">
        <v>0.78559999999999997</v>
      </c>
    </row>
    <row r="5268" spans="1:9" x14ac:dyDescent="0.25">
      <c r="A5268" t="s">
        <v>198</v>
      </c>
      <c r="B5268">
        <v>368</v>
      </c>
      <c r="C5268" t="s">
        <v>199</v>
      </c>
      <c r="D5268">
        <v>2633</v>
      </c>
      <c r="F5268" s="1">
        <v>9.1000000000000004E-3</v>
      </c>
      <c r="G5268" s="1">
        <v>8.5300000000000001E-2</v>
      </c>
      <c r="H5268" s="1">
        <v>0.90559999999999996</v>
      </c>
    </row>
    <row r="5269" spans="1:9" x14ac:dyDescent="0.25">
      <c r="A5269" t="s">
        <v>198</v>
      </c>
      <c r="B5269">
        <v>387</v>
      </c>
      <c r="C5269" t="s">
        <v>200</v>
      </c>
      <c r="D5269">
        <v>2633</v>
      </c>
      <c r="E5269" s="1">
        <v>4.5999999999999999E-3</v>
      </c>
      <c r="F5269" s="1">
        <v>1.1299999999999999E-2</v>
      </c>
      <c r="G5269" s="1">
        <v>0.11459999999999999</v>
      </c>
      <c r="H5269" s="1">
        <v>0.86950000000000005</v>
      </c>
    </row>
    <row r="5270" spans="1:9" x14ac:dyDescent="0.25">
      <c r="A5270" t="s">
        <v>198</v>
      </c>
      <c r="B5270">
        <v>256</v>
      </c>
      <c r="C5270" t="s">
        <v>201</v>
      </c>
      <c r="D5270">
        <v>2633</v>
      </c>
      <c r="E5270" s="1">
        <v>4.7999999999999996E-3</v>
      </c>
      <c r="F5270" s="1">
        <v>1.3100000000000001E-2</v>
      </c>
      <c r="G5270" s="1">
        <v>9.01E-2</v>
      </c>
      <c r="H5270" s="1">
        <v>0.89190000000000003</v>
      </c>
    </row>
    <row r="5271" spans="1:9" x14ac:dyDescent="0.25">
      <c r="A5271" t="s">
        <v>198</v>
      </c>
      <c r="B5271">
        <v>96</v>
      </c>
      <c r="C5271" t="s">
        <v>202</v>
      </c>
      <c r="D5271">
        <v>2633</v>
      </c>
      <c r="G5271" s="1">
        <v>0.1313</v>
      </c>
      <c r="H5271" s="1">
        <v>0.86870000000000003</v>
      </c>
    </row>
    <row r="5272" spans="1:9" x14ac:dyDescent="0.25">
      <c r="A5272" t="s">
        <v>203</v>
      </c>
      <c r="B5272">
        <v>530</v>
      </c>
      <c r="C5272" t="s">
        <v>199</v>
      </c>
      <c r="D5272">
        <v>2633</v>
      </c>
      <c r="F5272" s="1">
        <v>5.1000000000000004E-3</v>
      </c>
      <c r="G5272" s="1">
        <v>6.8500000000000005E-2</v>
      </c>
      <c r="H5272" s="1">
        <v>0.92649999999999999</v>
      </c>
    </row>
    <row r="5273" spans="1:9" x14ac:dyDescent="0.25">
      <c r="A5273" t="s">
        <v>203</v>
      </c>
      <c r="B5273">
        <v>503</v>
      </c>
      <c r="C5273" t="s">
        <v>200</v>
      </c>
      <c r="D5273">
        <v>2633</v>
      </c>
      <c r="F5273" s="1">
        <v>1.6000000000000001E-3</v>
      </c>
      <c r="G5273" s="1">
        <v>0.1147</v>
      </c>
      <c r="H5273" s="1">
        <v>0.88360000000000005</v>
      </c>
    </row>
    <row r="5274" spans="1:9" x14ac:dyDescent="0.25">
      <c r="A5274" t="s">
        <v>203</v>
      </c>
      <c r="B5274">
        <v>321</v>
      </c>
      <c r="C5274" t="s">
        <v>201</v>
      </c>
      <c r="D5274">
        <v>2633</v>
      </c>
      <c r="F5274" s="1">
        <v>2.7699999999999999E-2</v>
      </c>
      <c r="G5274" s="1">
        <v>3.27E-2</v>
      </c>
      <c r="H5274" s="1">
        <v>0.93969999999999998</v>
      </c>
    </row>
    <row r="5275" spans="1:9" x14ac:dyDescent="0.25">
      <c r="A5275" t="s">
        <v>203</v>
      </c>
      <c r="B5275">
        <v>90</v>
      </c>
      <c r="C5275" t="s">
        <v>202</v>
      </c>
      <c r="D5275">
        <v>2633</v>
      </c>
      <c r="G5275" s="1">
        <v>3.5700000000000003E-2</v>
      </c>
      <c r="H5275" s="1">
        <v>0.96430000000000005</v>
      </c>
    </row>
    <row r="5276" spans="1:9" x14ac:dyDescent="0.25">
      <c r="A5276" t="s">
        <v>204</v>
      </c>
      <c r="B5276">
        <v>2633</v>
      </c>
      <c r="C5276" t="s">
        <v>204</v>
      </c>
      <c r="D5276">
        <v>2633</v>
      </c>
      <c r="E5276" s="1">
        <v>8.0000000000000004E-4</v>
      </c>
      <c r="F5276" s="1">
        <v>7.7999999999999996E-3</v>
      </c>
      <c r="G5276" s="1">
        <v>0.10150000000000001</v>
      </c>
      <c r="H5276" s="1">
        <v>0.88990000000000002</v>
      </c>
    </row>
    <row r="5278" spans="1:9" x14ac:dyDescent="0.25">
      <c r="A5278" t="s">
        <v>1077</v>
      </c>
    </row>
    <row r="5279" spans="1:9" x14ac:dyDescent="0.25">
      <c r="A5279" t="s">
        <v>190</v>
      </c>
      <c r="B5279" t="s">
        <v>206</v>
      </c>
      <c r="C5279" t="s">
        <v>195</v>
      </c>
      <c r="D5279" t="s">
        <v>189</v>
      </c>
      <c r="E5279" t="s">
        <v>196</v>
      </c>
      <c r="F5279" t="s">
        <v>220</v>
      </c>
      <c r="G5279" t="s">
        <v>952</v>
      </c>
      <c r="H5279" t="s">
        <v>954</v>
      </c>
      <c r="I5279" t="s">
        <v>955</v>
      </c>
    </row>
    <row r="5280" spans="1:9" x14ac:dyDescent="0.25">
      <c r="A5280" t="s">
        <v>198</v>
      </c>
      <c r="B5280" t="s">
        <v>228</v>
      </c>
      <c r="C5280">
        <v>33</v>
      </c>
      <c r="D5280" t="s">
        <v>197</v>
      </c>
      <c r="E5280">
        <v>2633</v>
      </c>
      <c r="G5280" s="1">
        <v>3.4700000000000002E-2</v>
      </c>
      <c r="H5280" s="1">
        <v>0.32050000000000001</v>
      </c>
      <c r="I5280" s="1">
        <v>0.64490000000000003</v>
      </c>
    </row>
    <row r="5281" spans="1:9" x14ac:dyDescent="0.25">
      <c r="A5281" t="s">
        <v>198</v>
      </c>
      <c r="B5281" t="s">
        <v>229</v>
      </c>
      <c r="C5281">
        <v>49</v>
      </c>
      <c r="D5281" t="s">
        <v>197</v>
      </c>
      <c r="E5281">
        <v>2633</v>
      </c>
      <c r="G5281" s="1">
        <v>2.63E-2</v>
      </c>
      <c r="H5281" s="1">
        <v>8.1000000000000003E-2</v>
      </c>
      <c r="I5281" s="1">
        <v>0.89259999999999995</v>
      </c>
    </row>
    <row r="5282" spans="1:9" x14ac:dyDescent="0.25">
      <c r="A5282" t="s">
        <v>198</v>
      </c>
      <c r="B5282" t="s">
        <v>228</v>
      </c>
      <c r="C5282">
        <v>145</v>
      </c>
      <c r="D5282" t="s">
        <v>199</v>
      </c>
      <c r="E5282">
        <v>2633</v>
      </c>
      <c r="G5282" s="1">
        <v>2.6599999999999999E-2</v>
      </c>
      <c r="H5282" s="1">
        <v>0.13739999999999999</v>
      </c>
      <c r="I5282" s="1">
        <v>0.83599999999999997</v>
      </c>
    </row>
    <row r="5283" spans="1:9" x14ac:dyDescent="0.25">
      <c r="A5283" t="s">
        <v>198</v>
      </c>
      <c r="B5283" t="s">
        <v>229</v>
      </c>
      <c r="C5283">
        <v>213</v>
      </c>
      <c r="D5283" t="s">
        <v>199</v>
      </c>
      <c r="E5283">
        <v>2633</v>
      </c>
      <c r="G5283" s="1">
        <v>3.0999999999999999E-3</v>
      </c>
      <c r="H5283" s="1">
        <v>6.6299999999999998E-2</v>
      </c>
      <c r="I5283" s="1">
        <v>0.93059999999999998</v>
      </c>
    </row>
    <row r="5284" spans="1:9" x14ac:dyDescent="0.25">
      <c r="A5284" t="s">
        <v>198</v>
      </c>
      <c r="B5284" t="s">
        <v>229</v>
      </c>
      <c r="C5284">
        <v>270</v>
      </c>
      <c r="D5284" t="s">
        <v>200</v>
      </c>
      <c r="E5284">
        <v>2633</v>
      </c>
      <c r="F5284" s="1">
        <v>6.0000000000000001E-3</v>
      </c>
      <c r="G5284" s="1">
        <v>4.0000000000000002E-4</v>
      </c>
      <c r="H5284" s="1">
        <v>0.1144</v>
      </c>
      <c r="I5284" s="1">
        <v>0.87919999999999998</v>
      </c>
    </row>
    <row r="5285" spans="1:9" x14ac:dyDescent="0.25">
      <c r="A5285" t="s">
        <v>198</v>
      </c>
      <c r="B5285" t="s">
        <v>228</v>
      </c>
      <c r="C5285">
        <v>112</v>
      </c>
      <c r="D5285" t="s">
        <v>200</v>
      </c>
      <c r="E5285">
        <v>2633</v>
      </c>
      <c r="G5285" s="1">
        <v>4.7600000000000003E-2</v>
      </c>
      <c r="H5285" s="1">
        <v>0.1188</v>
      </c>
      <c r="I5285" s="1">
        <v>0.83360000000000001</v>
      </c>
    </row>
    <row r="5286" spans="1:9" x14ac:dyDescent="0.25">
      <c r="A5286" t="s">
        <v>198</v>
      </c>
      <c r="B5286" t="s">
        <v>228</v>
      </c>
      <c r="C5286">
        <v>95</v>
      </c>
      <c r="D5286" t="s">
        <v>201</v>
      </c>
      <c r="E5286">
        <v>2633</v>
      </c>
      <c r="G5286" s="1">
        <v>5.5899999999999998E-2</v>
      </c>
      <c r="H5286" s="1">
        <v>0.14530000000000001</v>
      </c>
      <c r="I5286" s="1">
        <v>0.79879999999999995</v>
      </c>
    </row>
    <row r="5287" spans="1:9" x14ac:dyDescent="0.25">
      <c r="A5287" t="s">
        <v>198</v>
      </c>
      <c r="B5287" t="s">
        <v>229</v>
      </c>
      <c r="C5287">
        <v>155</v>
      </c>
      <c r="D5287" t="s">
        <v>201</v>
      </c>
      <c r="E5287">
        <v>2633</v>
      </c>
      <c r="F5287" s="1">
        <v>6.1999999999999998E-3</v>
      </c>
      <c r="G5287" s="1">
        <v>1.6000000000000001E-3</v>
      </c>
      <c r="H5287" s="1">
        <v>7.5800000000000006E-2</v>
      </c>
      <c r="I5287" s="1">
        <v>0.91639999999999999</v>
      </c>
    </row>
    <row r="5288" spans="1:9" s="29" customFormat="1" x14ac:dyDescent="0.25">
      <c r="A5288" s="29" t="s">
        <v>198</v>
      </c>
      <c r="B5288" s="29" t="s">
        <v>228</v>
      </c>
      <c r="C5288" s="29">
        <v>28</v>
      </c>
      <c r="D5288" s="29" t="s">
        <v>202</v>
      </c>
      <c r="E5288" s="29">
        <v>2633</v>
      </c>
      <c r="H5288" s="30">
        <v>0.26600000000000001</v>
      </c>
      <c r="I5288" s="30">
        <v>0.73399999999999999</v>
      </c>
    </row>
    <row r="5289" spans="1:9" x14ac:dyDescent="0.25">
      <c r="A5289" t="s">
        <v>198</v>
      </c>
      <c r="B5289" t="s">
        <v>229</v>
      </c>
      <c r="C5289">
        <v>68</v>
      </c>
      <c r="D5289" t="s">
        <v>202</v>
      </c>
      <c r="E5289">
        <v>2633</v>
      </c>
      <c r="H5289" s="1">
        <v>8.9599999999999999E-2</v>
      </c>
      <c r="I5289" s="1">
        <v>0.91039999999999999</v>
      </c>
    </row>
    <row r="5290" spans="1:9" x14ac:dyDescent="0.25">
      <c r="A5290" t="s">
        <v>203</v>
      </c>
      <c r="B5290" t="s">
        <v>229</v>
      </c>
      <c r="C5290">
        <v>370</v>
      </c>
      <c r="D5290" t="s">
        <v>199</v>
      </c>
      <c r="E5290">
        <v>2633</v>
      </c>
      <c r="G5290" s="1">
        <v>3.5000000000000001E-3</v>
      </c>
      <c r="H5290" s="1">
        <v>5.2200000000000003E-2</v>
      </c>
      <c r="I5290" s="1">
        <v>0.94420000000000004</v>
      </c>
    </row>
    <row r="5291" spans="1:9" x14ac:dyDescent="0.25">
      <c r="A5291" t="s">
        <v>203</v>
      </c>
      <c r="B5291" t="s">
        <v>228</v>
      </c>
      <c r="C5291">
        <v>150</v>
      </c>
      <c r="D5291" t="s">
        <v>199</v>
      </c>
      <c r="E5291">
        <v>2633</v>
      </c>
      <c r="G5291" s="1">
        <v>1.8200000000000001E-2</v>
      </c>
      <c r="H5291" s="1">
        <v>0.20419999999999999</v>
      </c>
      <c r="I5291" s="1">
        <v>0.77769999999999995</v>
      </c>
    </row>
    <row r="5292" spans="1:9" x14ac:dyDescent="0.25">
      <c r="A5292" t="s">
        <v>203</v>
      </c>
      <c r="B5292" t="s">
        <v>229</v>
      </c>
      <c r="C5292">
        <v>347</v>
      </c>
      <c r="D5292" t="s">
        <v>200</v>
      </c>
      <c r="E5292">
        <v>2633</v>
      </c>
      <c r="G5292" s="1">
        <v>1.5E-3</v>
      </c>
      <c r="H5292" s="1">
        <v>0.1212</v>
      </c>
      <c r="I5292" s="1">
        <v>0.87729999999999997</v>
      </c>
    </row>
    <row r="5293" spans="1:9" x14ac:dyDescent="0.25">
      <c r="A5293" t="s">
        <v>203</v>
      </c>
      <c r="B5293" t="s">
        <v>228</v>
      </c>
      <c r="C5293">
        <v>155</v>
      </c>
      <c r="D5293" t="s">
        <v>200</v>
      </c>
      <c r="E5293">
        <v>2633</v>
      </c>
      <c r="G5293" s="1">
        <v>2.0999999999999999E-3</v>
      </c>
      <c r="H5293" s="1">
        <v>8.7800000000000003E-2</v>
      </c>
      <c r="I5293" s="1">
        <v>0.91010000000000002</v>
      </c>
    </row>
    <row r="5294" spans="1:9" x14ac:dyDescent="0.25">
      <c r="A5294" t="s">
        <v>203</v>
      </c>
      <c r="B5294" t="s">
        <v>229</v>
      </c>
      <c r="C5294">
        <v>137</v>
      </c>
      <c r="D5294" t="s">
        <v>201</v>
      </c>
      <c r="E5294">
        <v>2633</v>
      </c>
      <c r="G5294" s="1">
        <v>2.5000000000000001E-3</v>
      </c>
      <c r="H5294" s="1">
        <v>2.2100000000000002E-2</v>
      </c>
      <c r="I5294" s="1">
        <v>0.97540000000000004</v>
      </c>
    </row>
    <row r="5295" spans="1:9" x14ac:dyDescent="0.25">
      <c r="A5295" t="s">
        <v>203</v>
      </c>
      <c r="B5295" t="s">
        <v>228</v>
      </c>
      <c r="C5295">
        <v>177</v>
      </c>
      <c r="D5295" t="s">
        <v>201</v>
      </c>
      <c r="E5295">
        <v>2633</v>
      </c>
      <c r="G5295" s="1">
        <v>0.108</v>
      </c>
      <c r="H5295" s="1">
        <v>6.4100000000000004E-2</v>
      </c>
      <c r="I5295" s="1">
        <v>0.82789999999999997</v>
      </c>
    </row>
    <row r="5296" spans="1:9" x14ac:dyDescent="0.25">
      <c r="A5296" t="s">
        <v>203</v>
      </c>
      <c r="B5296" t="s">
        <v>228</v>
      </c>
      <c r="C5296">
        <v>34</v>
      </c>
      <c r="D5296" t="s">
        <v>202</v>
      </c>
      <c r="E5296">
        <v>2633</v>
      </c>
      <c r="H5296" s="1">
        <v>7.2599999999999998E-2</v>
      </c>
      <c r="I5296" s="1">
        <v>0.9274</v>
      </c>
    </row>
    <row r="5297" spans="1:9" x14ac:dyDescent="0.25">
      <c r="A5297" t="s">
        <v>203</v>
      </c>
      <c r="B5297" t="s">
        <v>229</v>
      </c>
      <c r="C5297">
        <v>56</v>
      </c>
      <c r="D5297" t="s">
        <v>202</v>
      </c>
      <c r="E5297">
        <v>2633</v>
      </c>
      <c r="H5297" s="1">
        <v>2.12E-2</v>
      </c>
      <c r="I5297" s="1">
        <v>0.9788</v>
      </c>
    </row>
    <row r="5298" spans="1:9" x14ac:dyDescent="0.25">
      <c r="A5298" t="s">
        <v>204</v>
      </c>
      <c r="B5298" t="s">
        <v>204</v>
      </c>
      <c r="C5298">
        <v>2633</v>
      </c>
      <c r="D5298" t="s">
        <v>204</v>
      </c>
      <c r="E5298">
        <v>2633</v>
      </c>
      <c r="F5298" s="1">
        <v>8.0000000000000004E-4</v>
      </c>
      <c r="G5298" s="1">
        <v>7.7999999999999996E-3</v>
      </c>
      <c r="H5298" s="1">
        <v>0.10150000000000001</v>
      </c>
      <c r="I5298" s="1">
        <v>0.88990000000000002</v>
      </c>
    </row>
    <row r="5300" spans="1:9" x14ac:dyDescent="0.25">
      <c r="A5300" t="s">
        <v>1078</v>
      </c>
    </row>
    <row r="5301" spans="1:9" x14ac:dyDescent="0.25">
      <c r="A5301" t="s">
        <v>190</v>
      </c>
      <c r="B5301" t="s">
        <v>206</v>
      </c>
      <c r="C5301" t="s">
        <v>195</v>
      </c>
      <c r="D5301" t="s">
        <v>189</v>
      </c>
      <c r="E5301" t="s">
        <v>196</v>
      </c>
      <c r="F5301" t="s">
        <v>220</v>
      </c>
      <c r="G5301" t="s">
        <v>952</v>
      </c>
      <c r="H5301" t="s">
        <v>954</v>
      </c>
      <c r="I5301" t="s">
        <v>955</v>
      </c>
    </row>
    <row r="5302" spans="1:9" x14ac:dyDescent="0.25">
      <c r="A5302" t="s">
        <v>198</v>
      </c>
      <c r="B5302" t="s">
        <v>348</v>
      </c>
      <c r="C5302">
        <v>79</v>
      </c>
      <c r="D5302" t="s">
        <v>197</v>
      </c>
      <c r="E5302">
        <v>2633</v>
      </c>
      <c r="G5302" s="1">
        <v>3.1E-2</v>
      </c>
      <c r="H5302" s="1">
        <v>0.17929999999999999</v>
      </c>
      <c r="I5302" s="1">
        <v>0.78969999999999996</v>
      </c>
    </row>
    <row r="5303" spans="1:9" s="29" customFormat="1" x14ac:dyDescent="0.25">
      <c r="A5303" s="29" t="s">
        <v>198</v>
      </c>
      <c r="B5303" s="29" t="s">
        <v>349</v>
      </c>
      <c r="C5303" s="29">
        <v>3</v>
      </c>
      <c r="D5303" s="29" t="s">
        <v>197</v>
      </c>
      <c r="E5303" s="29">
        <v>2633</v>
      </c>
      <c r="H5303" s="30">
        <v>0.33329999999999999</v>
      </c>
      <c r="I5303" s="30">
        <v>0.66669999999999996</v>
      </c>
    </row>
    <row r="5304" spans="1:9" x14ac:dyDescent="0.25">
      <c r="A5304" t="s">
        <v>198</v>
      </c>
      <c r="B5304" t="s">
        <v>348</v>
      </c>
      <c r="C5304">
        <v>54</v>
      </c>
      <c r="D5304" t="s">
        <v>199</v>
      </c>
      <c r="E5304">
        <v>2633</v>
      </c>
      <c r="G5304" s="1">
        <v>2.0299999999999999E-2</v>
      </c>
      <c r="H5304" s="1">
        <v>8.2799999999999999E-2</v>
      </c>
      <c r="I5304" s="1">
        <v>0.89680000000000004</v>
      </c>
    </row>
    <row r="5305" spans="1:9" x14ac:dyDescent="0.25">
      <c r="A5305" t="s">
        <v>198</v>
      </c>
      <c r="B5305" t="s">
        <v>349</v>
      </c>
      <c r="C5305">
        <v>111</v>
      </c>
      <c r="D5305" t="s">
        <v>199</v>
      </c>
      <c r="E5305">
        <v>2633</v>
      </c>
      <c r="G5305" s="1">
        <v>8.8999999999999999E-3</v>
      </c>
      <c r="H5305" s="1">
        <v>0.1069</v>
      </c>
      <c r="I5305" s="1">
        <v>0.88419999999999999</v>
      </c>
    </row>
    <row r="5306" spans="1:9" x14ac:dyDescent="0.25">
      <c r="A5306" t="s">
        <v>198</v>
      </c>
      <c r="B5306" t="s">
        <v>350</v>
      </c>
      <c r="C5306">
        <v>193</v>
      </c>
      <c r="D5306" t="s">
        <v>199</v>
      </c>
      <c r="E5306">
        <v>2633</v>
      </c>
      <c r="G5306" s="1">
        <v>5.7000000000000002E-3</v>
      </c>
      <c r="H5306" s="1">
        <v>6.0499999999999998E-2</v>
      </c>
      <c r="I5306" s="1">
        <v>0.93379999999999996</v>
      </c>
    </row>
    <row r="5307" spans="1:9" x14ac:dyDescent="0.25">
      <c r="A5307" t="s">
        <v>198</v>
      </c>
      <c r="B5307" t="s">
        <v>350</v>
      </c>
      <c r="C5307">
        <v>78</v>
      </c>
      <c r="D5307" t="s">
        <v>200</v>
      </c>
      <c r="E5307">
        <v>2633</v>
      </c>
      <c r="G5307" s="1">
        <v>4.1999999999999997E-3</v>
      </c>
      <c r="H5307" s="1">
        <v>0.15659999999999999</v>
      </c>
      <c r="I5307" s="1">
        <v>0.83919999999999995</v>
      </c>
    </row>
    <row r="5308" spans="1:9" x14ac:dyDescent="0.25">
      <c r="A5308" t="s">
        <v>198</v>
      </c>
      <c r="B5308" t="s">
        <v>348</v>
      </c>
      <c r="C5308">
        <v>242</v>
      </c>
      <c r="D5308" t="s">
        <v>200</v>
      </c>
      <c r="E5308">
        <v>2633</v>
      </c>
      <c r="F5308" s="1">
        <v>5.3E-3</v>
      </c>
      <c r="G5308" s="1">
        <v>1.6999999999999999E-3</v>
      </c>
      <c r="H5308" s="1">
        <v>0.11169999999999999</v>
      </c>
      <c r="I5308" s="1">
        <v>0.88139999999999996</v>
      </c>
    </row>
    <row r="5309" spans="1:9" x14ac:dyDescent="0.25">
      <c r="A5309" t="s">
        <v>198</v>
      </c>
      <c r="B5309" t="s">
        <v>349</v>
      </c>
      <c r="C5309">
        <v>62</v>
      </c>
      <c r="D5309" t="s">
        <v>200</v>
      </c>
      <c r="E5309">
        <v>2633</v>
      </c>
      <c r="G5309" s="1">
        <v>0.16569999999999999</v>
      </c>
      <c r="H5309" s="1">
        <v>0.12089999999999999</v>
      </c>
      <c r="I5309" s="1">
        <v>0.71340000000000003</v>
      </c>
    </row>
    <row r="5310" spans="1:9" x14ac:dyDescent="0.25">
      <c r="A5310" t="s">
        <v>198</v>
      </c>
      <c r="B5310" t="s">
        <v>349</v>
      </c>
      <c r="C5310">
        <v>125</v>
      </c>
      <c r="D5310" t="s">
        <v>201</v>
      </c>
      <c r="E5310">
        <v>2633</v>
      </c>
      <c r="G5310" s="1">
        <v>6.0000000000000001E-3</v>
      </c>
      <c r="H5310" s="1">
        <v>9.4500000000000001E-2</v>
      </c>
      <c r="I5310" s="1">
        <v>0.89939999999999998</v>
      </c>
    </row>
    <row r="5311" spans="1:9" x14ac:dyDescent="0.25">
      <c r="A5311" t="s">
        <v>198</v>
      </c>
      <c r="B5311" t="s">
        <v>350</v>
      </c>
      <c r="C5311">
        <v>63</v>
      </c>
      <c r="D5311" t="s">
        <v>201</v>
      </c>
      <c r="E5311">
        <v>2633</v>
      </c>
      <c r="H5311" s="1">
        <v>0.14729999999999999</v>
      </c>
      <c r="I5311" s="1">
        <v>0.85270000000000001</v>
      </c>
    </row>
    <row r="5312" spans="1:9" x14ac:dyDescent="0.25">
      <c r="A5312" t="s">
        <v>198</v>
      </c>
      <c r="B5312" t="s">
        <v>348</v>
      </c>
      <c r="C5312">
        <v>62</v>
      </c>
      <c r="D5312" t="s">
        <v>201</v>
      </c>
      <c r="E5312">
        <v>2633</v>
      </c>
      <c r="F5312" s="1">
        <v>1.8800000000000001E-2</v>
      </c>
      <c r="G5312" s="1">
        <v>3.49E-2</v>
      </c>
      <c r="H5312" s="1">
        <v>7.0800000000000002E-2</v>
      </c>
      <c r="I5312" s="1">
        <v>0.87560000000000004</v>
      </c>
    </row>
    <row r="5313" spans="1:14" x14ac:dyDescent="0.25">
      <c r="A5313" t="s">
        <v>198</v>
      </c>
      <c r="B5313" t="s">
        <v>348</v>
      </c>
      <c r="C5313">
        <v>96</v>
      </c>
      <c r="D5313" t="s">
        <v>202</v>
      </c>
      <c r="E5313">
        <v>2633</v>
      </c>
      <c r="H5313" s="1">
        <v>0.1313</v>
      </c>
      <c r="I5313" s="1">
        <v>0.86870000000000003</v>
      </c>
    </row>
    <row r="5314" spans="1:14" x14ac:dyDescent="0.25">
      <c r="A5314" t="s">
        <v>203</v>
      </c>
      <c r="B5314" t="s">
        <v>349</v>
      </c>
      <c r="C5314">
        <v>171</v>
      </c>
      <c r="D5314" t="s">
        <v>199</v>
      </c>
      <c r="E5314">
        <v>2633</v>
      </c>
      <c r="G5314" s="1">
        <v>1.0699999999999999E-2</v>
      </c>
      <c r="H5314" s="1">
        <v>6.6699999999999995E-2</v>
      </c>
      <c r="I5314" s="1">
        <v>0.92259999999999998</v>
      </c>
    </row>
    <row r="5315" spans="1:14" x14ac:dyDescent="0.25">
      <c r="A5315" t="s">
        <v>203</v>
      </c>
      <c r="B5315" t="s">
        <v>348</v>
      </c>
      <c r="C5315">
        <v>42</v>
      </c>
      <c r="D5315" t="s">
        <v>199</v>
      </c>
      <c r="E5315">
        <v>2633</v>
      </c>
      <c r="H5315" s="1">
        <v>6.8599999999999994E-2</v>
      </c>
      <c r="I5315" s="1">
        <v>0.93140000000000001</v>
      </c>
    </row>
    <row r="5316" spans="1:14" x14ac:dyDescent="0.25">
      <c r="A5316" t="s">
        <v>203</v>
      </c>
      <c r="B5316" t="s">
        <v>350</v>
      </c>
      <c r="C5316">
        <v>307</v>
      </c>
      <c r="D5316" t="s">
        <v>199</v>
      </c>
      <c r="E5316">
        <v>2633</v>
      </c>
      <c r="G5316" s="1">
        <v>2.5000000000000001E-3</v>
      </c>
      <c r="H5316" s="1">
        <v>6.9000000000000006E-2</v>
      </c>
      <c r="I5316" s="1">
        <v>0.92849999999999999</v>
      </c>
    </row>
    <row r="5317" spans="1:14" x14ac:dyDescent="0.25">
      <c r="A5317" t="s">
        <v>203</v>
      </c>
      <c r="B5317" t="s">
        <v>348</v>
      </c>
      <c r="C5317">
        <v>300</v>
      </c>
      <c r="D5317" t="s">
        <v>200</v>
      </c>
      <c r="E5317">
        <v>2633</v>
      </c>
      <c r="G5317" s="1">
        <v>5.0000000000000001E-4</v>
      </c>
      <c r="H5317" s="1">
        <v>0.1244</v>
      </c>
      <c r="I5317" s="1">
        <v>0.87519999999999998</v>
      </c>
    </row>
    <row r="5318" spans="1:14" x14ac:dyDescent="0.25">
      <c r="A5318" t="s">
        <v>203</v>
      </c>
      <c r="B5318" t="s">
        <v>349</v>
      </c>
      <c r="C5318">
        <v>108</v>
      </c>
      <c r="D5318" t="s">
        <v>200</v>
      </c>
      <c r="E5318">
        <v>2633</v>
      </c>
      <c r="G5318" s="1">
        <v>1.5299999999999999E-2</v>
      </c>
      <c r="H5318" s="1">
        <v>2.23E-2</v>
      </c>
      <c r="I5318" s="1">
        <v>0.96250000000000002</v>
      </c>
    </row>
    <row r="5319" spans="1:14" x14ac:dyDescent="0.25">
      <c r="A5319" t="s">
        <v>203</v>
      </c>
      <c r="B5319" t="s">
        <v>350</v>
      </c>
      <c r="C5319">
        <v>94</v>
      </c>
      <c r="D5319" t="s">
        <v>200</v>
      </c>
      <c r="E5319">
        <v>2633</v>
      </c>
      <c r="H5319" s="1">
        <v>8.0799999999999997E-2</v>
      </c>
      <c r="I5319" s="1">
        <v>0.91920000000000002</v>
      </c>
    </row>
    <row r="5320" spans="1:14" x14ac:dyDescent="0.25">
      <c r="A5320" t="s">
        <v>203</v>
      </c>
      <c r="B5320" t="s">
        <v>348</v>
      </c>
      <c r="C5320">
        <v>62</v>
      </c>
      <c r="D5320" t="s">
        <v>201</v>
      </c>
      <c r="E5320">
        <v>2633</v>
      </c>
      <c r="G5320" s="1">
        <v>0.15890000000000001</v>
      </c>
      <c r="H5320" s="1">
        <v>1.9E-2</v>
      </c>
      <c r="I5320" s="1">
        <v>0.82210000000000005</v>
      </c>
    </row>
    <row r="5321" spans="1:14" x14ac:dyDescent="0.25">
      <c r="A5321" t="s">
        <v>203</v>
      </c>
      <c r="B5321" t="s">
        <v>349</v>
      </c>
      <c r="C5321">
        <v>147</v>
      </c>
      <c r="D5321" t="s">
        <v>201</v>
      </c>
      <c r="E5321">
        <v>2633</v>
      </c>
      <c r="G5321" s="1">
        <v>1.15E-2</v>
      </c>
      <c r="H5321" s="1">
        <v>0.03</v>
      </c>
      <c r="I5321" s="1">
        <v>0.95850000000000002</v>
      </c>
    </row>
    <row r="5322" spans="1:14" x14ac:dyDescent="0.25">
      <c r="A5322" t="s">
        <v>203</v>
      </c>
      <c r="B5322" t="s">
        <v>350</v>
      </c>
      <c r="C5322">
        <v>105</v>
      </c>
      <c r="D5322" t="s">
        <v>201</v>
      </c>
      <c r="E5322">
        <v>2633</v>
      </c>
      <c r="G5322" s="1">
        <v>1.0999999999999999E-2</v>
      </c>
      <c r="H5322" s="1">
        <v>7.6200000000000004E-2</v>
      </c>
      <c r="I5322" s="1">
        <v>0.91279999999999994</v>
      </c>
    </row>
    <row r="5323" spans="1:14" x14ac:dyDescent="0.25">
      <c r="A5323" t="s">
        <v>203</v>
      </c>
      <c r="B5323" t="s">
        <v>348</v>
      </c>
      <c r="C5323">
        <v>90</v>
      </c>
      <c r="D5323" t="s">
        <v>202</v>
      </c>
      <c r="E5323">
        <v>2633</v>
      </c>
      <c r="H5323" s="1">
        <v>3.5700000000000003E-2</v>
      </c>
      <c r="I5323" s="1">
        <v>0.96430000000000005</v>
      </c>
    </row>
    <row r="5324" spans="1:14" x14ac:dyDescent="0.25">
      <c r="A5324" t="s">
        <v>204</v>
      </c>
      <c r="B5324" t="s">
        <v>204</v>
      </c>
      <c r="C5324">
        <v>2633</v>
      </c>
      <c r="D5324" t="s">
        <v>204</v>
      </c>
      <c r="E5324">
        <v>2633</v>
      </c>
      <c r="F5324" s="1">
        <v>8.0000000000000004E-4</v>
      </c>
      <c r="G5324" s="1">
        <v>7.7999999999999996E-3</v>
      </c>
      <c r="H5324" s="1">
        <v>0.10150000000000001</v>
      </c>
      <c r="I5324" s="1">
        <v>0.88990000000000002</v>
      </c>
    </row>
    <row r="5326" spans="1:14" x14ac:dyDescent="0.25">
      <c r="A5326" t="s">
        <v>1079</v>
      </c>
    </row>
    <row r="5327" spans="1:14" x14ac:dyDescent="0.25">
      <c r="A5327" t="s">
        <v>190</v>
      </c>
      <c r="B5327" t="s">
        <v>195</v>
      </c>
      <c r="C5327" t="s">
        <v>189</v>
      </c>
      <c r="D5327" t="s">
        <v>196</v>
      </c>
      <c r="E5327" t="s">
        <v>1080</v>
      </c>
      <c r="F5327" t="s">
        <v>1081</v>
      </c>
      <c r="G5327" t="s">
        <v>220</v>
      </c>
      <c r="H5327" t="s">
        <v>1082</v>
      </c>
      <c r="I5327" t="s">
        <v>1083</v>
      </c>
      <c r="J5327" t="s">
        <v>1084</v>
      </c>
      <c r="K5327" t="s">
        <v>1085</v>
      </c>
      <c r="L5327" t="s">
        <v>235</v>
      </c>
      <c r="M5327" t="s">
        <v>215</v>
      </c>
      <c r="N5327" t="s">
        <v>1086</v>
      </c>
    </row>
    <row r="5328" spans="1:14" s="29" customFormat="1" x14ac:dyDescent="0.25">
      <c r="A5328" s="29" t="s">
        <v>198</v>
      </c>
      <c r="B5328" s="29">
        <v>17</v>
      </c>
      <c r="C5328" s="29" t="s">
        <v>197</v>
      </c>
      <c r="D5328" s="29">
        <v>339</v>
      </c>
      <c r="E5328" s="30">
        <v>3.49E-2</v>
      </c>
      <c r="F5328" s="30">
        <v>9.7100000000000006E-2</v>
      </c>
      <c r="H5328" s="30">
        <v>5.1499999999999997E-2</v>
      </c>
      <c r="I5328" s="30">
        <v>9.9099999999999994E-2</v>
      </c>
      <c r="J5328" s="30">
        <v>0.1671</v>
      </c>
      <c r="K5328" s="30">
        <v>0.58530000000000004</v>
      </c>
    </row>
    <row r="5329" spans="1:15" x14ac:dyDescent="0.25">
      <c r="A5329" t="s">
        <v>198</v>
      </c>
      <c r="B5329">
        <v>59</v>
      </c>
      <c r="C5329" t="s">
        <v>199</v>
      </c>
      <c r="D5329">
        <v>339</v>
      </c>
      <c r="E5329" s="1">
        <v>0.12690000000000001</v>
      </c>
      <c r="F5329" s="1">
        <v>0.31119999999999998</v>
      </c>
      <c r="H5329" s="1">
        <v>0.21640000000000001</v>
      </c>
      <c r="I5329" s="1">
        <v>0.1026</v>
      </c>
      <c r="J5329" s="1">
        <v>0.28570000000000001</v>
      </c>
      <c r="K5329" s="1">
        <v>0.34770000000000001</v>
      </c>
      <c r="L5329" s="1">
        <v>5.5999999999999999E-3</v>
      </c>
    </row>
    <row r="5330" spans="1:15" x14ac:dyDescent="0.25">
      <c r="A5330" t="s">
        <v>198</v>
      </c>
      <c r="B5330">
        <v>54</v>
      </c>
      <c r="C5330" t="s">
        <v>200</v>
      </c>
      <c r="D5330">
        <v>339</v>
      </c>
      <c r="E5330" s="1">
        <v>0.36080000000000001</v>
      </c>
      <c r="F5330" s="1">
        <v>0.35310000000000002</v>
      </c>
      <c r="H5330" s="1">
        <v>8.5000000000000006E-2</v>
      </c>
      <c r="I5330" s="1">
        <v>6.4000000000000003E-3</v>
      </c>
      <c r="J5330" s="1">
        <v>5.91E-2</v>
      </c>
      <c r="K5330" s="1">
        <v>0.31859999999999999</v>
      </c>
      <c r="L5330" s="1">
        <v>1.37E-2</v>
      </c>
    </row>
    <row r="5331" spans="1:15" x14ac:dyDescent="0.25">
      <c r="A5331" t="s">
        <v>198</v>
      </c>
      <c r="B5331">
        <v>33</v>
      </c>
      <c r="C5331" t="s">
        <v>201</v>
      </c>
      <c r="D5331">
        <v>339</v>
      </c>
      <c r="E5331" s="1">
        <v>9.3799999999999994E-2</v>
      </c>
      <c r="F5331" s="1">
        <v>0.24060000000000001</v>
      </c>
      <c r="H5331" s="1">
        <v>0.27260000000000001</v>
      </c>
      <c r="J5331" s="1">
        <v>0.1953</v>
      </c>
      <c r="K5331" s="1">
        <v>0.46939999999999998</v>
      </c>
      <c r="N5331" s="1">
        <v>3.3999999999999998E-3</v>
      </c>
    </row>
    <row r="5332" spans="1:15" s="29" customFormat="1" x14ac:dyDescent="0.25">
      <c r="A5332" s="29" t="s">
        <v>198</v>
      </c>
      <c r="B5332" s="29">
        <v>16</v>
      </c>
      <c r="C5332" s="29" t="s">
        <v>202</v>
      </c>
      <c r="D5332" s="29">
        <v>339</v>
      </c>
      <c r="E5332" s="30">
        <v>0.26440000000000002</v>
      </c>
      <c r="H5332" s="30">
        <v>0.37730000000000002</v>
      </c>
      <c r="I5332" s="30">
        <v>0.24399999999999999</v>
      </c>
      <c r="J5332" s="30">
        <v>0.37830000000000003</v>
      </c>
      <c r="K5332" s="30">
        <v>0.33900000000000002</v>
      </c>
      <c r="L5332" s="30">
        <v>0.1424</v>
      </c>
    </row>
    <row r="5333" spans="1:15" x14ac:dyDescent="0.25">
      <c r="A5333" t="s">
        <v>203</v>
      </c>
      <c r="B5333">
        <v>71</v>
      </c>
      <c r="C5333" t="s">
        <v>199</v>
      </c>
      <c r="D5333">
        <v>339</v>
      </c>
      <c r="E5333" s="1">
        <v>0.24690000000000001</v>
      </c>
      <c r="F5333" s="1">
        <v>0.29210000000000003</v>
      </c>
      <c r="G5333" s="1">
        <v>2.12E-2</v>
      </c>
      <c r="H5333" s="1">
        <v>0.42</v>
      </c>
      <c r="I5333" s="1">
        <v>3.56E-2</v>
      </c>
      <c r="J5333" s="1">
        <v>0.13930000000000001</v>
      </c>
      <c r="K5333" s="1">
        <v>0.18920000000000001</v>
      </c>
      <c r="L5333" s="1">
        <v>8.6999999999999994E-3</v>
      </c>
      <c r="M5333" s="1">
        <v>1.2999999999999999E-3</v>
      </c>
      <c r="N5333" s="1">
        <v>1.21E-2</v>
      </c>
    </row>
    <row r="5334" spans="1:15" x14ac:dyDescent="0.25">
      <c r="A5334" t="s">
        <v>203</v>
      </c>
      <c r="B5334">
        <v>37</v>
      </c>
      <c r="C5334" t="s">
        <v>200</v>
      </c>
      <c r="D5334">
        <v>339</v>
      </c>
      <c r="E5334" s="1">
        <v>0.80030000000000001</v>
      </c>
      <c r="F5334" s="1">
        <v>2.07E-2</v>
      </c>
      <c r="H5334" s="1">
        <v>4.7199999999999999E-2</v>
      </c>
      <c r="I5334" s="1">
        <v>4.8999999999999998E-3</v>
      </c>
      <c r="J5334" s="1">
        <v>0.1188</v>
      </c>
      <c r="K5334" s="1">
        <v>9.1600000000000001E-2</v>
      </c>
      <c r="L5334" s="1">
        <v>4.8999999999999998E-3</v>
      </c>
    </row>
    <row r="5335" spans="1:15" x14ac:dyDescent="0.25">
      <c r="A5335" t="s">
        <v>203</v>
      </c>
      <c r="B5335">
        <v>46</v>
      </c>
      <c r="C5335" t="s">
        <v>201</v>
      </c>
      <c r="D5335">
        <v>339</v>
      </c>
      <c r="E5335" s="1">
        <v>0.2303</v>
      </c>
      <c r="F5335" s="1">
        <v>8.7800000000000003E-2</v>
      </c>
      <c r="G5335" s="1">
        <v>1.9199999999999998E-2</v>
      </c>
      <c r="H5335" s="1">
        <v>8.5400000000000004E-2</v>
      </c>
      <c r="I5335" s="1">
        <v>3.1099999999999999E-2</v>
      </c>
      <c r="J5335" s="1">
        <v>0.1925</v>
      </c>
      <c r="K5335" s="1">
        <v>0.49009999999999998</v>
      </c>
      <c r="L5335" s="1">
        <v>1.9199999999999998E-2</v>
      </c>
      <c r="M5335" s="1">
        <v>3.1099999999999999E-2</v>
      </c>
      <c r="N5335" s="1">
        <v>0.1207</v>
      </c>
    </row>
    <row r="5336" spans="1:15" s="29" customFormat="1" x14ac:dyDescent="0.25">
      <c r="A5336" s="29" t="s">
        <v>203</v>
      </c>
      <c r="B5336" s="29">
        <v>6</v>
      </c>
      <c r="C5336" s="29" t="s">
        <v>202</v>
      </c>
      <c r="D5336" s="29">
        <v>339</v>
      </c>
      <c r="E5336" s="30">
        <v>0.28670000000000001</v>
      </c>
      <c r="H5336" s="30">
        <v>0.33160000000000001</v>
      </c>
      <c r="I5336" s="30">
        <v>0.1658</v>
      </c>
      <c r="K5336" s="30">
        <v>0.66839999999999999</v>
      </c>
      <c r="N5336" s="30">
        <v>0.1658</v>
      </c>
    </row>
    <row r="5337" spans="1:15" x14ac:dyDescent="0.25">
      <c r="A5337" t="s">
        <v>204</v>
      </c>
      <c r="B5337">
        <v>339</v>
      </c>
      <c r="C5337" t="s">
        <v>204</v>
      </c>
      <c r="D5337">
        <v>339</v>
      </c>
      <c r="E5337" s="1">
        <v>0.38869999999999999</v>
      </c>
      <c r="F5337" s="1">
        <v>0.14610000000000001</v>
      </c>
      <c r="G5337" s="1">
        <v>2.5000000000000001E-3</v>
      </c>
      <c r="H5337" s="1">
        <v>0.16059999999999999</v>
      </c>
      <c r="I5337" s="1">
        <v>6.3E-2</v>
      </c>
      <c r="J5337" s="1">
        <v>0.1709</v>
      </c>
      <c r="K5337" s="1">
        <v>0.29530000000000001</v>
      </c>
      <c r="L5337" s="1">
        <v>2.24E-2</v>
      </c>
      <c r="M5337" s="1">
        <v>1.1000000000000001E-3</v>
      </c>
      <c r="N5337" s="1">
        <v>7.7999999999999996E-3</v>
      </c>
    </row>
    <row r="5339" spans="1:15" x14ac:dyDescent="0.25">
      <c r="A5339" t="s">
        <v>1087</v>
      </c>
    </row>
    <row r="5340" spans="1:15" x14ac:dyDescent="0.25">
      <c r="A5340" t="s">
        <v>190</v>
      </c>
      <c r="B5340" t="s">
        <v>206</v>
      </c>
      <c r="C5340" t="s">
        <v>195</v>
      </c>
      <c r="D5340" t="s">
        <v>189</v>
      </c>
      <c r="E5340" t="s">
        <v>196</v>
      </c>
      <c r="F5340" t="s">
        <v>1080</v>
      </c>
      <c r="G5340" t="s">
        <v>1081</v>
      </c>
      <c r="H5340" t="s">
        <v>220</v>
      </c>
      <c r="I5340" t="s">
        <v>1082</v>
      </c>
      <c r="J5340" t="s">
        <v>1083</v>
      </c>
      <c r="K5340" t="s">
        <v>1084</v>
      </c>
      <c r="L5340" t="s">
        <v>1085</v>
      </c>
      <c r="M5340" t="s">
        <v>235</v>
      </c>
      <c r="N5340" t="s">
        <v>215</v>
      </c>
      <c r="O5340" t="s">
        <v>1086</v>
      </c>
    </row>
    <row r="5341" spans="1:15" s="29" customFormat="1" x14ac:dyDescent="0.25">
      <c r="A5341" s="29" t="s">
        <v>198</v>
      </c>
      <c r="B5341" s="29" t="s">
        <v>228</v>
      </c>
      <c r="C5341" s="29">
        <v>11</v>
      </c>
      <c r="D5341" s="29" t="s">
        <v>197</v>
      </c>
      <c r="E5341" s="29">
        <v>339</v>
      </c>
      <c r="G5341" s="30">
        <v>0.13569999999999999</v>
      </c>
      <c r="I5341" s="30">
        <v>7.1900000000000006E-2</v>
      </c>
      <c r="K5341" s="30">
        <v>7.1900000000000006E-2</v>
      </c>
      <c r="L5341" s="30">
        <v>0.72040000000000004</v>
      </c>
    </row>
    <row r="5342" spans="1:15" s="29" customFormat="1" x14ac:dyDescent="0.25">
      <c r="A5342" s="29" t="s">
        <v>198</v>
      </c>
      <c r="B5342" s="29" t="s">
        <v>229</v>
      </c>
      <c r="C5342" s="29">
        <v>6</v>
      </c>
      <c r="D5342" s="29" t="s">
        <v>197</v>
      </c>
      <c r="E5342" s="29">
        <v>339</v>
      </c>
      <c r="F5342" s="30">
        <v>0.1227</v>
      </c>
      <c r="J5342" s="30">
        <v>0.34820000000000001</v>
      </c>
      <c r="K5342" s="30">
        <v>0.40639999999999998</v>
      </c>
      <c r="L5342" s="30">
        <v>0.24540000000000001</v>
      </c>
    </row>
    <row r="5343" spans="1:15" x14ac:dyDescent="0.25">
      <c r="A5343" t="s">
        <v>198</v>
      </c>
      <c r="B5343" t="s">
        <v>228</v>
      </c>
      <c r="C5343">
        <v>33</v>
      </c>
      <c r="D5343" t="s">
        <v>199</v>
      </c>
      <c r="E5343">
        <v>339</v>
      </c>
      <c r="F5343" s="1">
        <v>0.1875</v>
      </c>
      <c r="G5343" s="1">
        <v>0.1981</v>
      </c>
      <c r="I5343" s="1">
        <v>0.4178</v>
      </c>
      <c r="J5343" s="1">
        <v>0.17419999999999999</v>
      </c>
      <c r="K5343" s="1">
        <v>0.26190000000000002</v>
      </c>
      <c r="L5343" s="1">
        <v>0.39279999999999998</v>
      </c>
      <c r="M5343" s="1">
        <v>1.26E-2</v>
      </c>
    </row>
    <row r="5344" spans="1:15" s="29" customFormat="1" x14ac:dyDescent="0.25">
      <c r="A5344" s="29" t="s">
        <v>198</v>
      </c>
      <c r="B5344" s="29" t="s">
        <v>229</v>
      </c>
      <c r="C5344" s="29">
        <v>25</v>
      </c>
      <c r="D5344" s="29" t="s">
        <v>199</v>
      </c>
      <c r="E5344" s="29">
        <v>339</v>
      </c>
      <c r="F5344" s="30">
        <v>7.9699999999999993E-2</v>
      </c>
      <c r="G5344" s="30">
        <v>0.4128</v>
      </c>
      <c r="I5344" s="30">
        <v>2.9700000000000001E-2</v>
      </c>
      <c r="J5344" s="30">
        <v>4.5699999999999998E-2</v>
      </c>
      <c r="K5344" s="30">
        <v>0.31269999999999998</v>
      </c>
      <c r="L5344" s="30">
        <v>0.31909999999999999</v>
      </c>
    </row>
    <row r="5345" spans="1:15" x14ac:dyDescent="0.25">
      <c r="A5345" t="s">
        <v>198</v>
      </c>
      <c r="B5345" t="s">
        <v>229</v>
      </c>
      <c r="C5345">
        <v>36</v>
      </c>
      <c r="D5345" t="s">
        <v>200</v>
      </c>
      <c r="E5345">
        <v>339</v>
      </c>
      <c r="F5345" s="1">
        <v>0.39950000000000002</v>
      </c>
      <c r="G5345" s="1">
        <v>0.36859999999999998</v>
      </c>
      <c r="I5345" s="1">
        <v>4.7800000000000002E-2</v>
      </c>
      <c r="J5345" s="1">
        <v>9.1999999999999998E-3</v>
      </c>
      <c r="K5345" s="1">
        <v>6.8699999999999997E-2</v>
      </c>
      <c r="L5345" s="1">
        <v>0.15840000000000001</v>
      </c>
      <c r="M5345" s="1">
        <v>1.9699999999999999E-2</v>
      </c>
    </row>
    <row r="5346" spans="1:15" s="29" customFormat="1" x14ac:dyDescent="0.25">
      <c r="A5346" s="29" t="s">
        <v>198</v>
      </c>
      <c r="B5346" s="29" t="s">
        <v>228</v>
      </c>
      <c r="C5346" s="29">
        <v>18</v>
      </c>
      <c r="D5346" s="29" t="s">
        <v>200</v>
      </c>
      <c r="E5346" s="29">
        <v>339</v>
      </c>
      <c r="F5346" s="30">
        <v>0.27310000000000001</v>
      </c>
      <c r="G5346" s="30">
        <v>0.31790000000000002</v>
      </c>
      <c r="I5346" s="30">
        <v>0.16950000000000001</v>
      </c>
      <c r="K5346" s="30">
        <v>3.73E-2</v>
      </c>
      <c r="L5346" s="30">
        <v>0.68210000000000004</v>
      </c>
    </row>
    <row r="5347" spans="1:15" s="29" customFormat="1" x14ac:dyDescent="0.25">
      <c r="A5347" s="29" t="s">
        <v>198</v>
      </c>
      <c r="B5347" s="29" t="s">
        <v>228</v>
      </c>
      <c r="C5347" s="29">
        <v>21</v>
      </c>
      <c r="D5347" s="29" t="s">
        <v>201</v>
      </c>
      <c r="E5347" s="29">
        <v>339</v>
      </c>
      <c r="F5347" s="30">
        <v>0.1115</v>
      </c>
      <c r="G5347" s="30">
        <v>0.12640000000000001</v>
      </c>
      <c r="I5347" s="30">
        <v>0.14949999999999999</v>
      </c>
      <c r="K5347" s="30">
        <v>0.11890000000000001</v>
      </c>
      <c r="L5347" s="30">
        <v>0.76949999999999996</v>
      </c>
      <c r="O5347" s="30">
        <v>7.4000000000000003E-3</v>
      </c>
    </row>
    <row r="5348" spans="1:15" s="29" customFormat="1" x14ac:dyDescent="0.25">
      <c r="A5348" s="29" t="s">
        <v>198</v>
      </c>
      <c r="B5348" s="29" t="s">
        <v>229</v>
      </c>
      <c r="C5348" s="29">
        <v>11</v>
      </c>
      <c r="D5348" s="29" t="s">
        <v>201</v>
      </c>
      <c r="E5348" s="29">
        <v>339</v>
      </c>
      <c r="F5348" s="30">
        <v>7.2400000000000006E-2</v>
      </c>
      <c r="G5348" s="30">
        <v>0.33589999999999998</v>
      </c>
      <c r="I5348" s="30">
        <v>0.38240000000000002</v>
      </c>
      <c r="K5348" s="30">
        <v>0.2636</v>
      </c>
      <c r="L5348" s="30">
        <v>0.20930000000000001</v>
      </c>
    </row>
    <row r="5349" spans="1:15" s="29" customFormat="1" x14ac:dyDescent="0.25">
      <c r="A5349" s="29" t="s">
        <v>198</v>
      </c>
      <c r="B5349" s="29" t="s">
        <v>228</v>
      </c>
      <c r="C5349" s="29">
        <v>7</v>
      </c>
      <c r="D5349" s="29" t="s">
        <v>202</v>
      </c>
      <c r="E5349" s="29">
        <v>339</v>
      </c>
      <c r="F5349" s="30">
        <v>0.29720000000000002</v>
      </c>
      <c r="I5349" s="30">
        <v>0.40560000000000002</v>
      </c>
      <c r="J5349" s="30">
        <v>0.25469999999999998</v>
      </c>
      <c r="K5349" s="30">
        <v>0.66249999999999998</v>
      </c>
      <c r="L5349" s="30">
        <v>0.29720000000000002</v>
      </c>
      <c r="M5349" s="30">
        <v>0.25679999999999997</v>
      </c>
    </row>
    <row r="5350" spans="1:15" s="29" customFormat="1" x14ac:dyDescent="0.25">
      <c r="A5350" s="29" t="s">
        <v>198</v>
      </c>
      <c r="B5350" s="29" t="s">
        <v>229</v>
      </c>
      <c r="C5350" s="29">
        <v>9</v>
      </c>
      <c r="D5350" s="29" t="s">
        <v>202</v>
      </c>
      <c r="E5350" s="29">
        <v>339</v>
      </c>
      <c r="F5350" s="30">
        <v>0.23419999999999999</v>
      </c>
      <c r="I5350" s="30">
        <v>0.3513</v>
      </c>
      <c r="J5350" s="30">
        <v>0.23419999999999999</v>
      </c>
      <c r="K5350" s="30">
        <v>0.1171</v>
      </c>
      <c r="L5350" s="30">
        <v>0.3775</v>
      </c>
      <c r="M5350" s="30">
        <v>3.7100000000000001E-2</v>
      </c>
    </row>
    <row r="5351" spans="1:15" x14ac:dyDescent="0.25">
      <c r="A5351" t="s">
        <v>203</v>
      </c>
      <c r="B5351" t="s">
        <v>229</v>
      </c>
      <c r="C5351">
        <v>42</v>
      </c>
      <c r="D5351" t="s">
        <v>199</v>
      </c>
      <c r="E5351">
        <v>339</v>
      </c>
      <c r="F5351" s="1">
        <v>0.30180000000000001</v>
      </c>
      <c r="G5351" s="1">
        <v>0.36580000000000001</v>
      </c>
      <c r="H5351" s="1">
        <v>1.0200000000000001E-2</v>
      </c>
      <c r="I5351" s="1">
        <v>0.3569</v>
      </c>
      <c r="J5351" s="1">
        <v>1.0999999999999999E-2</v>
      </c>
      <c r="L5351" s="1">
        <v>2.6700000000000002E-2</v>
      </c>
      <c r="M5351" s="1">
        <v>1.9E-3</v>
      </c>
    </row>
    <row r="5352" spans="1:15" s="29" customFormat="1" x14ac:dyDescent="0.25">
      <c r="A5352" s="29" t="s">
        <v>203</v>
      </c>
      <c r="B5352" s="29" t="s">
        <v>228</v>
      </c>
      <c r="C5352" s="29">
        <v>28</v>
      </c>
      <c r="D5352" s="29" t="s">
        <v>199</v>
      </c>
      <c r="E5352" s="29">
        <v>339</v>
      </c>
      <c r="F5352" s="30">
        <v>0.13569999999999999</v>
      </c>
      <c r="G5352" s="30">
        <v>0.14180000000000001</v>
      </c>
      <c r="H5352" s="30">
        <v>4.5100000000000001E-2</v>
      </c>
      <c r="I5352" s="30">
        <v>0.56430000000000002</v>
      </c>
      <c r="J5352" s="30">
        <v>8.8999999999999996E-2</v>
      </c>
      <c r="K5352" s="30">
        <v>0.43909999999999999</v>
      </c>
      <c r="L5352" s="30">
        <v>0.53959999999999997</v>
      </c>
      <c r="N5352" s="30">
        <v>4.0000000000000001E-3</v>
      </c>
      <c r="O5352" s="30">
        <v>3.8199999999999998E-2</v>
      </c>
    </row>
    <row r="5353" spans="1:15" s="29" customFormat="1" x14ac:dyDescent="0.25">
      <c r="A5353" s="29" t="s">
        <v>203</v>
      </c>
      <c r="B5353" s="29" t="s">
        <v>229</v>
      </c>
      <c r="C5353" s="29">
        <v>24</v>
      </c>
      <c r="D5353" s="29" t="s">
        <v>200</v>
      </c>
      <c r="E5353" s="29">
        <v>339</v>
      </c>
      <c r="F5353" s="30">
        <v>0.82789999999999997</v>
      </c>
      <c r="G5353" s="30">
        <v>1.8800000000000001E-2</v>
      </c>
      <c r="I5353" s="30">
        <v>2.9399999999999999E-2</v>
      </c>
      <c r="J5353" s="30">
        <v>5.7999999999999996E-3</v>
      </c>
      <c r="K5353" s="30">
        <v>0.1328</v>
      </c>
      <c r="L5353" s="30">
        <v>5.3400000000000003E-2</v>
      </c>
      <c r="M5353" s="30">
        <v>5.8999999999999999E-3</v>
      </c>
    </row>
    <row r="5354" spans="1:15" s="29" customFormat="1" x14ac:dyDescent="0.25">
      <c r="A5354" s="29" t="s">
        <v>203</v>
      </c>
      <c r="B5354" s="29" t="s">
        <v>228</v>
      </c>
      <c r="C5354" s="29">
        <v>13</v>
      </c>
      <c r="D5354" s="29" t="s">
        <v>200</v>
      </c>
      <c r="E5354" s="29">
        <v>339</v>
      </c>
      <c r="F5354" s="30">
        <v>0.66010000000000002</v>
      </c>
      <c r="G5354" s="30">
        <v>3.0499999999999999E-2</v>
      </c>
      <c r="I5354" s="30">
        <v>0.13730000000000001</v>
      </c>
      <c r="K5354" s="30">
        <v>4.7800000000000002E-2</v>
      </c>
      <c r="L5354" s="30">
        <v>0.28549999999999998</v>
      </c>
    </row>
    <row r="5355" spans="1:15" s="29" customFormat="1" x14ac:dyDescent="0.25">
      <c r="A5355" s="29" t="s">
        <v>203</v>
      </c>
      <c r="B5355" s="29" t="s">
        <v>229</v>
      </c>
      <c r="C5355" s="29">
        <v>9</v>
      </c>
      <c r="D5355" s="29" t="s">
        <v>201</v>
      </c>
      <c r="E5355" s="29">
        <v>339</v>
      </c>
      <c r="F5355" s="30">
        <v>0.20119999999999999</v>
      </c>
      <c r="G5355" s="30">
        <v>6.2199999999999998E-2</v>
      </c>
      <c r="H5355" s="30">
        <v>6.2199999999999998E-2</v>
      </c>
      <c r="I5355" s="30">
        <v>3.8199999999999998E-2</v>
      </c>
      <c r="K5355" s="30">
        <v>0.41099999999999998</v>
      </c>
      <c r="L5355" s="30">
        <v>0.30170000000000002</v>
      </c>
      <c r="M5355" s="30">
        <v>6.2199999999999998E-2</v>
      </c>
      <c r="N5355" s="30">
        <v>0.10059999999999999</v>
      </c>
    </row>
    <row r="5356" spans="1:15" x14ac:dyDescent="0.25">
      <c r="A5356" t="s">
        <v>203</v>
      </c>
      <c r="B5356" t="s">
        <v>228</v>
      </c>
      <c r="C5356">
        <v>34</v>
      </c>
      <c r="D5356" t="s">
        <v>201</v>
      </c>
      <c r="E5356">
        <v>339</v>
      </c>
      <c r="F5356" s="1">
        <v>0.24679999999999999</v>
      </c>
      <c r="G5356" s="1">
        <v>8.6400000000000005E-2</v>
      </c>
      <c r="I5356" s="1">
        <v>0.1081</v>
      </c>
      <c r="J5356" s="1">
        <v>4.5699999999999998E-2</v>
      </c>
      <c r="K5356" s="1">
        <v>9.6100000000000005E-2</v>
      </c>
      <c r="L5356" s="1">
        <v>0.5827</v>
      </c>
      <c r="O5356" s="1">
        <v>0.1772</v>
      </c>
    </row>
    <row r="5357" spans="1:15" s="29" customFormat="1" x14ac:dyDescent="0.25">
      <c r="A5357" s="29" t="s">
        <v>203</v>
      </c>
      <c r="B5357" s="29" t="s">
        <v>228</v>
      </c>
      <c r="C5357" s="29">
        <v>4</v>
      </c>
      <c r="D5357" s="29" t="s">
        <v>202</v>
      </c>
      <c r="E5357" s="29">
        <v>339</v>
      </c>
      <c r="I5357" s="30">
        <v>0.57699999999999996</v>
      </c>
      <c r="J5357" s="30">
        <v>0.28849999999999998</v>
      </c>
      <c r="L5357" s="30">
        <v>0.42299999999999999</v>
      </c>
      <c r="O5357" s="30">
        <v>0.28849999999999998</v>
      </c>
    </row>
    <row r="5358" spans="1:15" s="29" customFormat="1" x14ac:dyDescent="0.25">
      <c r="A5358" s="29" t="s">
        <v>203</v>
      </c>
      <c r="B5358" s="29" t="s">
        <v>229</v>
      </c>
      <c r="C5358" s="29">
        <v>2</v>
      </c>
      <c r="D5358" s="29" t="s">
        <v>202</v>
      </c>
      <c r="E5358" s="29">
        <v>339</v>
      </c>
      <c r="F5358" s="30">
        <v>0.67410000000000003</v>
      </c>
      <c r="L5358" s="30">
        <v>1</v>
      </c>
    </row>
    <row r="5359" spans="1:15" x14ac:dyDescent="0.25">
      <c r="A5359" t="s">
        <v>204</v>
      </c>
      <c r="B5359" t="s">
        <v>204</v>
      </c>
      <c r="C5359">
        <v>339</v>
      </c>
      <c r="D5359" t="s">
        <v>204</v>
      </c>
      <c r="E5359">
        <v>339</v>
      </c>
      <c r="F5359" s="1">
        <v>0.38869999999999999</v>
      </c>
      <c r="G5359" s="1">
        <v>0.14610000000000001</v>
      </c>
      <c r="H5359" s="1">
        <v>2.5000000000000001E-3</v>
      </c>
      <c r="I5359" s="1">
        <v>0.16059999999999999</v>
      </c>
      <c r="J5359" s="1">
        <v>6.3E-2</v>
      </c>
      <c r="K5359" s="1">
        <v>0.1709</v>
      </c>
      <c r="L5359" s="1">
        <v>0.29530000000000001</v>
      </c>
      <c r="M5359" s="1">
        <v>2.24E-2</v>
      </c>
      <c r="N5359" s="1">
        <v>1.1000000000000001E-3</v>
      </c>
      <c r="O5359" s="1">
        <v>7.7999999999999996E-3</v>
      </c>
    </row>
    <row r="5361" spans="1:15" x14ac:dyDescent="0.25">
      <c r="A5361" t="s">
        <v>1088</v>
      </c>
    </row>
    <row r="5362" spans="1:15" x14ac:dyDescent="0.25">
      <c r="A5362" t="s">
        <v>190</v>
      </c>
      <c r="B5362" t="s">
        <v>206</v>
      </c>
      <c r="C5362" t="s">
        <v>195</v>
      </c>
      <c r="D5362" t="s">
        <v>189</v>
      </c>
      <c r="E5362" t="s">
        <v>196</v>
      </c>
      <c r="F5362" t="s">
        <v>1080</v>
      </c>
      <c r="G5362" t="s">
        <v>1081</v>
      </c>
      <c r="H5362" t="s">
        <v>220</v>
      </c>
      <c r="I5362" t="s">
        <v>1082</v>
      </c>
      <c r="J5362" t="s">
        <v>1083</v>
      </c>
      <c r="K5362" t="s">
        <v>1084</v>
      </c>
      <c r="L5362" t="s">
        <v>1085</v>
      </c>
      <c r="M5362" t="s">
        <v>235</v>
      </c>
      <c r="N5362" t="s">
        <v>215</v>
      </c>
      <c r="O5362" t="s">
        <v>1086</v>
      </c>
    </row>
    <row r="5363" spans="1:15" s="29" customFormat="1" x14ac:dyDescent="0.25">
      <c r="A5363" s="29" t="s">
        <v>198</v>
      </c>
      <c r="B5363" s="29" t="s">
        <v>348</v>
      </c>
      <c r="C5363" s="29">
        <v>16</v>
      </c>
      <c r="D5363" s="29" t="s">
        <v>197</v>
      </c>
      <c r="E5363" s="29">
        <v>339</v>
      </c>
      <c r="F5363" s="30">
        <v>3.6799999999999999E-2</v>
      </c>
      <c r="G5363" s="30">
        <v>0.1023</v>
      </c>
      <c r="J5363" s="30">
        <v>0.10440000000000001</v>
      </c>
      <c r="K5363" s="30">
        <v>0.1762</v>
      </c>
      <c r="L5363" s="30">
        <v>0.61709999999999998</v>
      </c>
    </row>
    <row r="5364" spans="1:15" s="29" customFormat="1" x14ac:dyDescent="0.25">
      <c r="A5364" s="29" t="s">
        <v>198</v>
      </c>
      <c r="B5364" s="29" t="s">
        <v>349</v>
      </c>
      <c r="C5364" s="29">
        <v>1</v>
      </c>
      <c r="D5364" s="29" t="s">
        <v>197</v>
      </c>
      <c r="E5364" s="29">
        <v>339</v>
      </c>
      <c r="I5364" s="30">
        <v>1</v>
      </c>
    </row>
    <row r="5365" spans="1:15" s="29" customFormat="1" x14ac:dyDescent="0.25">
      <c r="A5365" s="29" t="s">
        <v>198</v>
      </c>
      <c r="B5365" s="29" t="s">
        <v>350</v>
      </c>
      <c r="C5365" s="29">
        <v>23</v>
      </c>
      <c r="D5365" s="29" t="s">
        <v>199</v>
      </c>
      <c r="E5365" s="29">
        <v>339</v>
      </c>
      <c r="F5365" s="30">
        <v>0.27889999999999998</v>
      </c>
      <c r="G5365" s="30">
        <v>0.3342</v>
      </c>
      <c r="I5365" s="30">
        <v>0.1716</v>
      </c>
      <c r="J5365" s="30">
        <v>0.1042</v>
      </c>
      <c r="K5365" s="30">
        <v>0.30259999999999998</v>
      </c>
      <c r="L5365" s="30">
        <v>0.22700000000000001</v>
      </c>
    </row>
    <row r="5366" spans="1:15" s="29" customFormat="1" x14ac:dyDescent="0.25">
      <c r="A5366" s="29" t="s">
        <v>198</v>
      </c>
      <c r="B5366" s="29" t="s">
        <v>348</v>
      </c>
      <c r="C5366" s="29">
        <v>13</v>
      </c>
      <c r="D5366" s="29" t="s">
        <v>199</v>
      </c>
      <c r="E5366" s="29">
        <v>339</v>
      </c>
      <c r="F5366" s="30">
        <v>3.7100000000000001E-2</v>
      </c>
      <c r="G5366" s="30">
        <v>0.20200000000000001</v>
      </c>
      <c r="I5366" s="30">
        <v>0.3901</v>
      </c>
      <c r="J5366" s="30">
        <v>3.7100000000000001E-2</v>
      </c>
      <c r="K5366" s="30">
        <v>0.2477</v>
      </c>
      <c r="L5366" s="30">
        <v>0.58740000000000003</v>
      </c>
      <c r="M5366" s="30">
        <v>3.7100000000000001E-2</v>
      </c>
    </row>
    <row r="5367" spans="1:15" s="29" customFormat="1" x14ac:dyDescent="0.25">
      <c r="A5367" s="29" t="s">
        <v>198</v>
      </c>
      <c r="B5367" s="29" t="s">
        <v>349</v>
      </c>
      <c r="C5367" s="29">
        <v>22</v>
      </c>
      <c r="D5367" s="29" t="s">
        <v>199</v>
      </c>
      <c r="E5367" s="29">
        <v>339</v>
      </c>
      <c r="F5367" s="30">
        <v>7.7600000000000002E-2</v>
      </c>
      <c r="G5367" s="30">
        <v>0.33700000000000002</v>
      </c>
      <c r="I5367" s="30">
        <v>0.1724</v>
      </c>
      <c r="J5367" s="30">
        <v>0.1222</v>
      </c>
      <c r="K5367" s="30">
        <v>0.29459999999999997</v>
      </c>
      <c r="L5367" s="30">
        <v>0.35160000000000002</v>
      </c>
    </row>
    <row r="5368" spans="1:15" s="29" customFormat="1" x14ac:dyDescent="0.25">
      <c r="A5368" s="29" t="s">
        <v>198</v>
      </c>
      <c r="B5368" s="29" t="s">
        <v>348</v>
      </c>
      <c r="C5368" s="29">
        <v>28</v>
      </c>
      <c r="D5368" s="29" t="s">
        <v>200</v>
      </c>
      <c r="E5368" s="29">
        <v>339</v>
      </c>
      <c r="F5368" s="30">
        <v>0.42</v>
      </c>
      <c r="G5368" s="30">
        <v>0.3639</v>
      </c>
      <c r="K5368" s="30">
        <v>6.1400000000000003E-2</v>
      </c>
      <c r="L5368" s="30">
        <v>0.26219999999999999</v>
      </c>
      <c r="M5368" s="30">
        <v>1.7600000000000001E-2</v>
      </c>
    </row>
    <row r="5369" spans="1:15" s="29" customFormat="1" x14ac:dyDescent="0.25">
      <c r="A5369" s="29" t="s">
        <v>198</v>
      </c>
      <c r="B5369" s="29" t="s">
        <v>349</v>
      </c>
      <c r="C5369" s="29">
        <v>13</v>
      </c>
      <c r="D5369" s="29" t="s">
        <v>200</v>
      </c>
      <c r="E5369" s="29">
        <v>339</v>
      </c>
      <c r="F5369" s="30">
        <v>0.25729999999999997</v>
      </c>
      <c r="G5369" s="30">
        <v>0.25729999999999997</v>
      </c>
      <c r="I5369" s="30">
        <v>0.30690000000000001</v>
      </c>
      <c r="K5369" s="30">
        <v>3.7699999999999997E-2</v>
      </c>
      <c r="L5369" s="30">
        <v>0.65539999999999998</v>
      </c>
    </row>
    <row r="5370" spans="1:15" s="29" customFormat="1" x14ac:dyDescent="0.25">
      <c r="A5370" s="29" t="s">
        <v>198</v>
      </c>
      <c r="B5370" s="29" t="s">
        <v>350</v>
      </c>
      <c r="C5370" s="29">
        <v>13</v>
      </c>
      <c r="D5370" s="29" t="s">
        <v>200</v>
      </c>
      <c r="E5370" s="29">
        <v>339</v>
      </c>
      <c r="G5370" s="30">
        <v>0.39910000000000001</v>
      </c>
      <c r="I5370" s="30">
        <v>0.49569999999999997</v>
      </c>
      <c r="J5370" s="30">
        <v>7.0599999999999996E-2</v>
      </c>
      <c r="K5370" s="30">
        <v>7.0599999999999996E-2</v>
      </c>
      <c r="L5370" s="30">
        <v>0.3135</v>
      </c>
    </row>
    <row r="5371" spans="1:15" s="29" customFormat="1" x14ac:dyDescent="0.25">
      <c r="A5371" s="29" t="s">
        <v>198</v>
      </c>
      <c r="B5371" s="29" t="s">
        <v>348</v>
      </c>
      <c r="C5371" s="29">
        <v>9</v>
      </c>
      <c r="D5371" s="29" t="s">
        <v>201</v>
      </c>
      <c r="E5371" s="29">
        <v>339</v>
      </c>
      <c r="G5371" s="30">
        <v>0.15229999999999999</v>
      </c>
      <c r="I5371" s="30">
        <v>0.17780000000000001</v>
      </c>
      <c r="L5371" s="30">
        <v>0.84770000000000001</v>
      </c>
    </row>
    <row r="5372" spans="1:15" s="29" customFormat="1" x14ac:dyDescent="0.25">
      <c r="A5372" s="29" t="s">
        <v>198</v>
      </c>
      <c r="B5372" s="29" t="s">
        <v>350</v>
      </c>
      <c r="C5372" s="29">
        <v>7</v>
      </c>
      <c r="D5372" s="29" t="s">
        <v>201</v>
      </c>
      <c r="E5372" s="29">
        <v>339</v>
      </c>
      <c r="G5372" s="30">
        <v>0.14130000000000001</v>
      </c>
      <c r="I5372" s="30">
        <v>4.7100000000000003E-2</v>
      </c>
      <c r="K5372" s="30">
        <v>0.57369999999999999</v>
      </c>
      <c r="L5372" s="30">
        <v>0.37919999999999998</v>
      </c>
      <c r="O5372" s="30">
        <v>4.7100000000000003E-2</v>
      </c>
    </row>
    <row r="5373" spans="1:15" s="29" customFormat="1" x14ac:dyDescent="0.25">
      <c r="A5373" s="29" t="s">
        <v>198</v>
      </c>
      <c r="B5373" s="29" t="s">
        <v>349</v>
      </c>
      <c r="C5373" s="29">
        <v>16</v>
      </c>
      <c r="D5373" s="29" t="s">
        <v>201</v>
      </c>
      <c r="E5373" s="29">
        <v>339</v>
      </c>
      <c r="F5373" s="30">
        <v>0.14399999999999999</v>
      </c>
      <c r="G5373" s="30">
        <v>0.28970000000000001</v>
      </c>
      <c r="I5373" s="30">
        <v>0.34510000000000002</v>
      </c>
      <c r="K5373" s="30">
        <v>0.2445</v>
      </c>
      <c r="L5373" s="30">
        <v>0.30409999999999998</v>
      </c>
    </row>
    <row r="5374" spans="1:15" s="29" customFormat="1" x14ac:dyDescent="0.25">
      <c r="A5374" s="29" t="s">
        <v>198</v>
      </c>
      <c r="B5374" s="29" t="s">
        <v>348</v>
      </c>
      <c r="C5374" s="29">
        <v>16</v>
      </c>
      <c r="D5374" s="29" t="s">
        <v>202</v>
      </c>
      <c r="E5374" s="29">
        <v>339</v>
      </c>
      <c r="F5374" s="30">
        <v>0.26440000000000002</v>
      </c>
      <c r="I5374" s="30">
        <v>0.37730000000000002</v>
      </c>
      <c r="J5374" s="30">
        <v>0.24399999999999999</v>
      </c>
      <c r="K5374" s="30">
        <v>0.37830000000000003</v>
      </c>
      <c r="L5374" s="30">
        <v>0.33900000000000002</v>
      </c>
      <c r="M5374" s="30">
        <v>0.1424</v>
      </c>
    </row>
    <row r="5375" spans="1:15" x14ac:dyDescent="0.25">
      <c r="A5375" t="s">
        <v>203</v>
      </c>
      <c r="B5375" t="s">
        <v>349</v>
      </c>
      <c r="C5375">
        <v>31</v>
      </c>
      <c r="D5375" t="s">
        <v>199</v>
      </c>
      <c r="E5375">
        <v>339</v>
      </c>
      <c r="F5375" s="1">
        <v>0.13850000000000001</v>
      </c>
      <c r="G5375" s="1">
        <v>0.43590000000000001</v>
      </c>
      <c r="H5375" s="1">
        <v>4.0500000000000001E-2</v>
      </c>
      <c r="I5375" s="1">
        <v>0.32779999999999998</v>
      </c>
      <c r="J5375" s="1">
        <v>5.7299999999999997E-2</v>
      </c>
      <c r="K5375" s="1">
        <v>7.1199999999999999E-2</v>
      </c>
      <c r="L5375" s="1">
        <v>0.11169999999999999</v>
      </c>
      <c r="O5375" s="1">
        <v>3.56E-2</v>
      </c>
    </row>
    <row r="5376" spans="1:15" x14ac:dyDescent="0.25">
      <c r="A5376" t="s">
        <v>203</v>
      </c>
      <c r="B5376" t="s">
        <v>350</v>
      </c>
      <c r="C5376">
        <v>36</v>
      </c>
      <c r="D5376" t="s">
        <v>199</v>
      </c>
      <c r="E5376">
        <v>339</v>
      </c>
      <c r="F5376" s="1">
        <v>0.32569999999999999</v>
      </c>
      <c r="G5376" s="1">
        <v>0.23430000000000001</v>
      </c>
      <c r="H5376" s="1">
        <v>1.21E-2</v>
      </c>
      <c r="I5376" s="1">
        <v>0.46889999999999998</v>
      </c>
      <c r="J5376" s="1">
        <v>2.63E-2</v>
      </c>
      <c r="K5376" s="1">
        <v>0.18759999999999999</v>
      </c>
      <c r="L5376" s="1">
        <v>0.21709999999999999</v>
      </c>
      <c r="M5376" s="1">
        <v>2.0999999999999999E-3</v>
      </c>
      <c r="N5376" s="1">
        <v>2.0999999999999999E-3</v>
      </c>
    </row>
    <row r="5377" spans="1:15" s="29" customFormat="1" x14ac:dyDescent="0.25">
      <c r="A5377" s="29" t="s">
        <v>203</v>
      </c>
      <c r="B5377" s="29" t="s">
        <v>348</v>
      </c>
      <c r="C5377" s="29">
        <v>3</v>
      </c>
      <c r="D5377" s="29" t="s">
        <v>199</v>
      </c>
      <c r="E5377" s="29">
        <v>339</v>
      </c>
      <c r="I5377" s="30">
        <v>0.53700000000000003</v>
      </c>
      <c r="L5377" s="30">
        <v>0.46300000000000002</v>
      </c>
    </row>
    <row r="5378" spans="1:15" s="29" customFormat="1" x14ac:dyDescent="0.25">
      <c r="A5378" s="29" t="s">
        <v>203</v>
      </c>
      <c r="B5378" s="29" t="s">
        <v>350</v>
      </c>
      <c r="C5378" s="29">
        <v>6</v>
      </c>
      <c r="D5378" s="29" t="s">
        <v>200</v>
      </c>
      <c r="E5378" s="29">
        <v>339</v>
      </c>
      <c r="G5378" s="30">
        <v>0.61650000000000005</v>
      </c>
      <c r="J5378" s="30">
        <v>0.1913</v>
      </c>
      <c r="L5378" s="30">
        <v>0.19220000000000001</v>
      </c>
    </row>
    <row r="5379" spans="1:15" s="29" customFormat="1" x14ac:dyDescent="0.25">
      <c r="A5379" s="29" t="s">
        <v>203</v>
      </c>
      <c r="B5379" s="29" t="s">
        <v>349</v>
      </c>
      <c r="C5379" s="29">
        <v>6</v>
      </c>
      <c r="D5379" s="29" t="s">
        <v>200</v>
      </c>
      <c r="E5379" s="29">
        <v>339</v>
      </c>
      <c r="G5379" s="30">
        <v>3.8100000000000002E-2</v>
      </c>
      <c r="I5379" s="30">
        <v>0.20910000000000001</v>
      </c>
      <c r="K5379" s="30">
        <v>0.20910000000000001</v>
      </c>
      <c r="L5379" s="30">
        <v>0.58050000000000002</v>
      </c>
      <c r="M5379" s="30">
        <v>0.1724</v>
      </c>
    </row>
    <row r="5380" spans="1:15" s="29" customFormat="1" x14ac:dyDescent="0.25">
      <c r="A5380" s="29" t="s">
        <v>203</v>
      </c>
      <c r="B5380" s="29" t="s">
        <v>348</v>
      </c>
      <c r="C5380" s="29">
        <v>25</v>
      </c>
      <c r="D5380" s="29" t="s">
        <v>200</v>
      </c>
      <c r="E5380" s="29">
        <v>339</v>
      </c>
      <c r="F5380" s="30">
        <v>0.84589999999999999</v>
      </c>
      <c r="G5380" s="30">
        <v>4.1999999999999997E-3</v>
      </c>
      <c r="I5380" s="30">
        <v>4.36E-2</v>
      </c>
      <c r="K5380" s="30">
        <v>0.1193</v>
      </c>
      <c r="L5380" s="30">
        <v>7.4200000000000002E-2</v>
      </c>
    </row>
    <row r="5381" spans="1:15" s="29" customFormat="1" x14ac:dyDescent="0.25">
      <c r="A5381" s="29" t="s">
        <v>203</v>
      </c>
      <c r="B5381" s="29" t="s">
        <v>350</v>
      </c>
      <c r="C5381" s="29">
        <v>17</v>
      </c>
      <c r="D5381" s="29" t="s">
        <v>201</v>
      </c>
      <c r="E5381" s="29">
        <v>339</v>
      </c>
      <c r="F5381" s="30">
        <v>0.12620000000000001</v>
      </c>
      <c r="G5381" s="30">
        <v>0.47</v>
      </c>
      <c r="H5381" s="30">
        <v>0.18609999999999999</v>
      </c>
      <c r="I5381" s="30">
        <v>9.4600000000000004E-2</v>
      </c>
      <c r="K5381" s="30">
        <v>3.15E-2</v>
      </c>
      <c r="L5381" s="30">
        <v>6.3100000000000003E-2</v>
      </c>
      <c r="M5381" s="30">
        <v>0.18609999999999999</v>
      </c>
    </row>
    <row r="5382" spans="1:15" s="29" customFormat="1" x14ac:dyDescent="0.25">
      <c r="A5382" s="29" t="s">
        <v>203</v>
      </c>
      <c r="B5382" s="29" t="s">
        <v>349</v>
      </c>
      <c r="C5382" s="29">
        <v>21</v>
      </c>
      <c r="D5382" s="29" t="s">
        <v>201</v>
      </c>
      <c r="E5382" s="29">
        <v>339</v>
      </c>
      <c r="F5382" s="30">
        <v>0.34360000000000002</v>
      </c>
      <c r="G5382" s="30">
        <v>1.1599999999999999E-2</v>
      </c>
      <c r="I5382" s="30">
        <v>0.11360000000000001</v>
      </c>
      <c r="J5382" s="30">
        <v>5.5300000000000002E-2</v>
      </c>
      <c r="K5382" s="30">
        <v>0.31569999999999998</v>
      </c>
      <c r="L5382" s="30">
        <v>0.38729999999999998</v>
      </c>
      <c r="N5382" s="30">
        <v>5.5300000000000002E-2</v>
      </c>
      <c r="O5382" s="30">
        <v>0.17180000000000001</v>
      </c>
    </row>
    <row r="5383" spans="1:15" s="29" customFormat="1" x14ac:dyDescent="0.25">
      <c r="A5383" s="29" t="s">
        <v>203</v>
      </c>
      <c r="B5383" s="29" t="s">
        <v>348</v>
      </c>
      <c r="C5383" s="29">
        <v>5</v>
      </c>
      <c r="D5383" s="29" t="s">
        <v>201</v>
      </c>
      <c r="E5383" s="29">
        <v>339</v>
      </c>
      <c r="F5383" s="30">
        <v>7.4300000000000005E-2</v>
      </c>
      <c r="G5383" s="30">
        <v>7.0699999999999999E-2</v>
      </c>
      <c r="I5383" s="30">
        <v>3.6400000000000002E-2</v>
      </c>
      <c r="K5383" s="30">
        <v>3.6400000000000002E-2</v>
      </c>
      <c r="L5383" s="30">
        <v>0.81859999999999999</v>
      </c>
      <c r="O5383" s="30">
        <v>7.4300000000000005E-2</v>
      </c>
    </row>
    <row r="5384" spans="1:15" s="29" customFormat="1" x14ac:dyDescent="0.25">
      <c r="A5384" s="29" t="s">
        <v>203</v>
      </c>
      <c r="B5384" s="29" t="s">
        <v>348</v>
      </c>
      <c r="C5384" s="29">
        <v>6</v>
      </c>
      <c r="D5384" s="29" t="s">
        <v>202</v>
      </c>
      <c r="E5384" s="29">
        <v>339</v>
      </c>
      <c r="F5384" s="30">
        <v>0.28670000000000001</v>
      </c>
      <c r="I5384" s="30">
        <v>0.33160000000000001</v>
      </c>
      <c r="J5384" s="30">
        <v>0.1658</v>
      </c>
      <c r="L5384" s="30">
        <v>0.66839999999999999</v>
      </c>
      <c r="O5384" s="30">
        <v>0.1658</v>
      </c>
    </row>
    <row r="5385" spans="1:15" x14ac:dyDescent="0.25">
      <c r="A5385" t="s">
        <v>204</v>
      </c>
      <c r="B5385" t="s">
        <v>204</v>
      </c>
      <c r="C5385">
        <v>339</v>
      </c>
      <c r="D5385" t="s">
        <v>204</v>
      </c>
      <c r="E5385">
        <v>339</v>
      </c>
      <c r="F5385" s="1">
        <v>0.38869999999999999</v>
      </c>
      <c r="G5385" s="1">
        <v>0.14610000000000001</v>
      </c>
      <c r="H5385" s="1">
        <v>2.5000000000000001E-3</v>
      </c>
      <c r="I5385" s="1">
        <v>0.16059999999999999</v>
      </c>
      <c r="J5385" s="1">
        <v>6.3E-2</v>
      </c>
      <c r="K5385" s="1">
        <v>0.1709</v>
      </c>
      <c r="L5385" s="1">
        <v>0.29530000000000001</v>
      </c>
      <c r="M5385" s="1">
        <v>2.24E-2</v>
      </c>
      <c r="N5385" s="1">
        <v>1.1000000000000001E-3</v>
      </c>
      <c r="O5385" s="1">
        <v>7.7999999999999996E-3</v>
      </c>
    </row>
    <row r="5387" spans="1:15" x14ac:dyDescent="0.25">
      <c r="A5387" t="s">
        <v>1089</v>
      </c>
    </row>
    <row r="5388" spans="1:15" x14ac:dyDescent="0.25">
      <c r="A5388" t="s">
        <v>190</v>
      </c>
      <c r="B5388" t="s">
        <v>195</v>
      </c>
      <c r="C5388" t="s">
        <v>189</v>
      </c>
      <c r="D5388" t="s">
        <v>196</v>
      </c>
      <c r="E5388" t="s">
        <v>220</v>
      </c>
      <c r="F5388" t="s">
        <v>1090</v>
      </c>
      <c r="G5388" t="s">
        <v>1091</v>
      </c>
      <c r="H5388" t="s">
        <v>1092</v>
      </c>
      <c r="I5388" t="s">
        <v>1093</v>
      </c>
      <c r="J5388" t="s">
        <v>235</v>
      </c>
    </row>
    <row r="5389" spans="1:15" x14ac:dyDescent="0.25">
      <c r="A5389" t="s">
        <v>198</v>
      </c>
      <c r="B5389">
        <v>82</v>
      </c>
      <c r="C5389" t="s">
        <v>197</v>
      </c>
      <c r="D5389">
        <v>2633</v>
      </c>
      <c r="F5389" s="1">
        <v>0.83679999999999999</v>
      </c>
      <c r="G5389" s="1">
        <v>3.9300000000000002E-2</v>
      </c>
      <c r="H5389" s="1">
        <v>0.12379999999999999</v>
      </c>
    </row>
    <row r="5390" spans="1:15" x14ac:dyDescent="0.25">
      <c r="A5390" t="s">
        <v>198</v>
      </c>
      <c r="B5390">
        <v>368</v>
      </c>
      <c r="C5390" t="s">
        <v>199</v>
      </c>
      <c r="D5390">
        <v>2633</v>
      </c>
      <c r="F5390" s="1">
        <v>0.92190000000000005</v>
      </c>
      <c r="G5390" s="1">
        <v>4.02E-2</v>
      </c>
      <c r="H5390" s="1">
        <v>3.5900000000000001E-2</v>
      </c>
      <c r="J5390" s="1">
        <v>2E-3</v>
      </c>
    </row>
    <row r="5391" spans="1:15" x14ac:dyDescent="0.25">
      <c r="A5391" t="s">
        <v>198</v>
      </c>
      <c r="B5391">
        <v>387</v>
      </c>
      <c r="C5391" t="s">
        <v>200</v>
      </c>
      <c r="D5391">
        <v>2633</v>
      </c>
      <c r="F5391" s="1">
        <v>0.95930000000000004</v>
      </c>
      <c r="G5391" s="1">
        <v>2.0500000000000001E-2</v>
      </c>
      <c r="H5391" s="1">
        <v>1.9199999999999998E-2</v>
      </c>
      <c r="I5391" s="1">
        <v>1E-3</v>
      </c>
    </row>
    <row r="5392" spans="1:15" x14ac:dyDescent="0.25">
      <c r="A5392" t="s">
        <v>198</v>
      </c>
      <c r="B5392">
        <v>256</v>
      </c>
      <c r="C5392" t="s">
        <v>201</v>
      </c>
      <c r="D5392">
        <v>2633</v>
      </c>
      <c r="F5392" s="1">
        <v>0.92669999999999997</v>
      </c>
      <c r="G5392" s="1">
        <v>2.1100000000000001E-2</v>
      </c>
      <c r="H5392" s="1">
        <v>0.04</v>
      </c>
      <c r="I5392" s="1">
        <v>1.2200000000000001E-2</v>
      </c>
    </row>
    <row r="5393" spans="1:11" x14ac:dyDescent="0.25">
      <c r="A5393" t="s">
        <v>198</v>
      </c>
      <c r="B5393">
        <v>96</v>
      </c>
      <c r="C5393" t="s">
        <v>202</v>
      </c>
      <c r="D5393">
        <v>2633</v>
      </c>
      <c r="F5393" s="1">
        <v>0.90390000000000004</v>
      </c>
      <c r="G5393" s="1">
        <v>6.6900000000000001E-2</v>
      </c>
      <c r="H5393" s="1">
        <v>1.8700000000000001E-2</v>
      </c>
      <c r="I5393" s="1">
        <v>1.0500000000000001E-2</v>
      </c>
    </row>
    <row r="5394" spans="1:11" x14ac:dyDescent="0.25">
      <c r="A5394" t="s">
        <v>203</v>
      </c>
      <c r="B5394">
        <v>530</v>
      </c>
      <c r="C5394" t="s">
        <v>199</v>
      </c>
      <c r="D5394">
        <v>2633</v>
      </c>
      <c r="F5394" s="1">
        <v>0.98209999999999997</v>
      </c>
      <c r="G5394" s="1">
        <v>6.0000000000000001E-3</v>
      </c>
      <c r="H5394" s="1">
        <v>1.14E-2</v>
      </c>
      <c r="I5394" s="1">
        <v>5.0000000000000001E-4</v>
      </c>
    </row>
    <row r="5395" spans="1:11" x14ac:dyDescent="0.25">
      <c r="A5395" t="s">
        <v>203</v>
      </c>
      <c r="B5395">
        <v>503</v>
      </c>
      <c r="C5395" t="s">
        <v>200</v>
      </c>
      <c r="D5395">
        <v>2633</v>
      </c>
      <c r="E5395" s="1">
        <v>1.1999999999999999E-3</v>
      </c>
      <c r="F5395" s="1">
        <v>0.98260000000000003</v>
      </c>
      <c r="G5395" s="1">
        <v>1.11E-2</v>
      </c>
      <c r="H5395" s="1">
        <v>5.1000000000000004E-3</v>
      </c>
    </row>
    <row r="5396" spans="1:11" x14ac:dyDescent="0.25">
      <c r="A5396" t="s">
        <v>203</v>
      </c>
      <c r="B5396">
        <v>321</v>
      </c>
      <c r="C5396" t="s">
        <v>201</v>
      </c>
      <c r="D5396">
        <v>2633</v>
      </c>
      <c r="F5396" s="1">
        <v>0.88580000000000003</v>
      </c>
      <c r="G5396" s="1">
        <v>8.7400000000000005E-2</v>
      </c>
      <c r="H5396" s="1">
        <v>2.6499999999999999E-2</v>
      </c>
      <c r="I5396" s="1">
        <v>4.0000000000000002E-4</v>
      </c>
    </row>
    <row r="5397" spans="1:11" x14ac:dyDescent="0.25">
      <c r="A5397" t="s">
        <v>203</v>
      </c>
      <c r="B5397">
        <v>90</v>
      </c>
      <c r="C5397" t="s">
        <v>202</v>
      </c>
      <c r="D5397">
        <v>2633</v>
      </c>
      <c r="F5397" s="1">
        <v>0.96650000000000003</v>
      </c>
      <c r="G5397" s="1">
        <v>1.9900000000000001E-2</v>
      </c>
      <c r="H5397" s="1">
        <v>4.8999999999999998E-3</v>
      </c>
      <c r="I5397" s="1">
        <v>8.6999999999999994E-3</v>
      </c>
    </row>
    <row r="5398" spans="1:11" x14ac:dyDescent="0.25">
      <c r="A5398" t="s">
        <v>204</v>
      </c>
      <c r="B5398">
        <v>2633</v>
      </c>
      <c r="C5398" t="s">
        <v>204</v>
      </c>
      <c r="D5398">
        <v>2633</v>
      </c>
      <c r="E5398" s="1">
        <v>4.0000000000000002E-4</v>
      </c>
      <c r="F5398" s="1">
        <v>0.94640000000000002</v>
      </c>
      <c r="G5398" s="1">
        <v>2.7400000000000001E-2</v>
      </c>
      <c r="H5398" s="1">
        <v>2.3300000000000001E-2</v>
      </c>
      <c r="I5398" s="1">
        <v>2.2000000000000001E-3</v>
      </c>
      <c r="J5398" s="1">
        <v>2.9999999999999997E-4</v>
      </c>
    </row>
    <row r="5400" spans="1:11" x14ac:dyDescent="0.25">
      <c r="A5400" t="s">
        <v>1094</v>
      </c>
    </row>
    <row r="5401" spans="1:11" x14ac:dyDescent="0.25">
      <c r="A5401" t="s">
        <v>190</v>
      </c>
      <c r="B5401" t="s">
        <v>206</v>
      </c>
      <c r="C5401" t="s">
        <v>195</v>
      </c>
      <c r="D5401" t="s">
        <v>189</v>
      </c>
      <c r="E5401" t="s">
        <v>196</v>
      </c>
      <c r="F5401" t="s">
        <v>220</v>
      </c>
      <c r="G5401" t="s">
        <v>1090</v>
      </c>
      <c r="H5401" t="s">
        <v>1091</v>
      </c>
      <c r="I5401" t="s">
        <v>1092</v>
      </c>
      <c r="J5401" t="s">
        <v>1093</v>
      </c>
      <c r="K5401" t="s">
        <v>235</v>
      </c>
    </row>
    <row r="5402" spans="1:11" x14ac:dyDescent="0.25">
      <c r="A5402" t="s">
        <v>198</v>
      </c>
      <c r="B5402" t="s">
        <v>228</v>
      </c>
      <c r="C5402">
        <v>33</v>
      </c>
      <c r="D5402" t="s">
        <v>197</v>
      </c>
      <c r="E5402">
        <v>2633</v>
      </c>
      <c r="G5402" s="1">
        <v>0.75239999999999996</v>
      </c>
      <c r="H5402" s="1">
        <v>7.3700000000000002E-2</v>
      </c>
      <c r="I5402" s="1">
        <v>0.1739</v>
      </c>
    </row>
    <row r="5403" spans="1:11" x14ac:dyDescent="0.25">
      <c r="A5403" t="s">
        <v>198</v>
      </c>
      <c r="B5403" t="s">
        <v>229</v>
      </c>
      <c r="C5403">
        <v>49</v>
      </c>
      <c r="D5403" t="s">
        <v>197</v>
      </c>
      <c r="E5403">
        <v>2633</v>
      </c>
      <c r="G5403" s="1">
        <v>0.90100000000000002</v>
      </c>
      <c r="H5403" s="1">
        <v>1.32E-2</v>
      </c>
      <c r="I5403" s="1">
        <v>8.5800000000000001E-2</v>
      </c>
    </row>
    <row r="5404" spans="1:11" x14ac:dyDescent="0.25">
      <c r="A5404" t="s">
        <v>198</v>
      </c>
      <c r="B5404" t="s">
        <v>228</v>
      </c>
      <c r="C5404">
        <v>145</v>
      </c>
      <c r="D5404" t="s">
        <v>199</v>
      </c>
      <c r="E5404">
        <v>2633</v>
      </c>
      <c r="G5404" s="1">
        <v>0.76480000000000004</v>
      </c>
      <c r="H5404" s="1">
        <v>0.1193</v>
      </c>
      <c r="I5404" s="1">
        <v>0.1159</v>
      </c>
    </row>
    <row r="5405" spans="1:11" x14ac:dyDescent="0.25">
      <c r="A5405" t="s">
        <v>198</v>
      </c>
      <c r="B5405" t="s">
        <v>229</v>
      </c>
      <c r="C5405">
        <v>213</v>
      </c>
      <c r="D5405" t="s">
        <v>199</v>
      </c>
      <c r="E5405">
        <v>2633</v>
      </c>
      <c r="G5405" s="1">
        <v>0.97750000000000004</v>
      </c>
      <c r="H5405" s="1">
        <v>1.2999999999999999E-2</v>
      </c>
      <c r="I5405" s="1">
        <v>6.7000000000000002E-3</v>
      </c>
      <c r="K5405" s="1">
        <v>2.7000000000000001E-3</v>
      </c>
    </row>
    <row r="5406" spans="1:11" x14ac:dyDescent="0.25">
      <c r="A5406" t="s">
        <v>198</v>
      </c>
      <c r="B5406" t="s">
        <v>229</v>
      </c>
      <c r="C5406">
        <v>270</v>
      </c>
      <c r="D5406" t="s">
        <v>200</v>
      </c>
      <c r="E5406">
        <v>2633</v>
      </c>
      <c r="G5406" s="1">
        <v>0.98370000000000002</v>
      </c>
      <c r="H5406" s="1">
        <v>3.0999999999999999E-3</v>
      </c>
      <c r="I5406" s="1">
        <v>1.2999999999999999E-2</v>
      </c>
      <c r="J5406" s="1">
        <v>2.9999999999999997E-4</v>
      </c>
    </row>
    <row r="5407" spans="1:11" x14ac:dyDescent="0.25">
      <c r="A5407" t="s">
        <v>198</v>
      </c>
      <c r="B5407" t="s">
        <v>228</v>
      </c>
      <c r="C5407">
        <v>112</v>
      </c>
      <c r="D5407" t="s">
        <v>200</v>
      </c>
      <c r="E5407">
        <v>2633</v>
      </c>
      <c r="G5407" s="1">
        <v>0.87760000000000005</v>
      </c>
      <c r="H5407" s="1">
        <v>7.8600000000000003E-2</v>
      </c>
      <c r="I5407" s="1">
        <v>4.0300000000000002E-2</v>
      </c>
      <c r="J5407" s="1">
        <v>3.5000000000000001E-3</v>
      </c>
    </row>
    <row r="5408" spans="1:11" x14ac:dyDescent="0.25">
      <c r="A5408" t="s">
        <v>198</v>
      </c>
      <c r="B5408" t="s">
        <v>228</v>
      </c>
      <c r="C5408">
        <v>95</v>
      </c>
      <c r="D5408" t="s">
        <v>201</v>
      </c>
      <c r="E5408">
        <v>2633</v>
      </c>
      <c r="G5408" s="1">
        <v>0.75839999999999996</v>
      </c>
      <c r="H5408" s="1">
        <v>6.4500000000000002E-2</v>
      </c>
      <c r="I5408" s="1">
        <v>0.1196</v>
      </c>
      <c r="J5408" s="1">
        <v>5.7500000000000002E-2</v>
      </c>
    </row>
    <row r="5409" spans="1:11" x14ac:dyDescent="0.25">
      <c r="A5409" t="s">
        <v>198</v>
      </c>
      <c r="B5409" t="s">
        <v>229</v>
      </c>
      <c r="C5409">
        <v>155</v>
      </c>
      <c r="D5409" t="s">
        <v>201</v>
      </c>
      <c r="E5409">
        <v>2633</v>
      </c>
      <c r="G5409" s="1">
        <v>0.97270000000000001</v>
      </c>
      <c r="H5409" s="1">
        <v>9.4999999999999998E-3</v>
      </c>
      <c r="I5409" s="1">
        <v>1.78E-2</v>
      </c>
    </row>
    <row r="5410" spans="1:11" s="29" customFormat="1" x14ac:dyDescent="0.25">
      <c r="A5410" s="29" t="s">
        <v>198</v>
      </c>
      <c r="B5410" s="29" t="s">
        <v>228</v>
      </c>
      <c r="C5410" s="29">
        <v>28</v>
      </c>
      <c r="D5410" s="29" t="s">
        <v>202</v>
      </c>
      <c r="E5410" s="29">
        <v>2633</v>
      </c>
      <c r="G5410" s="30">
        <v>0.70579999999999998</v>
      </c>
      <c r="H5410" s="30">
        <v>0.2152</v>
      </c>
      <c r="I5410" s="30">
        <v>6.83E-2</v>
      </c>
      <c r="J5410" s="30">
        <v>1.0699999999999999E-2</v>
      </c>
    </row>
    <row r="5411" spans="1:11" x14ac:dyDescent="0.25">
      <c r="A5411" t="s">
        <v>198</v>
      </c>
      <c r="B5411" t="s">
        <v>229</v>
      </c>
      <c r="C5411">
        <v>68</v>
      </c>
      <c r="D5411" t="s">
        <v>202</v>
      </c>
      <c r="E5411">
        <v>2633</v>
      </c>
      <c r="G5411" s="1">
        <v>0.96519999999999995</v>
      </c>
      <c r="H5411" s="1">
        <v>2.1000000000000001E-2</v>
      </c>
      <c r="I5411" s="1">
        <v>3.3E-3</v>
      </c>
      <c r="J5411" s="1">
        <v>1.0500000000000001E-2</v>
      </c>
    </row>
    <row r="5412" spans="1:11" x14ac:dyDescent="0.25">
      <c r="A5412" t="s">
        <v>203</v>
      </c>
      <c r="B5412" t="s">
        <v>229</v>
      </c>
      <c r="C5412">
        <v>370</v>
      </c>
      <c r="D5412" t="s">
        <v>199</v>
      </c>
      <c r="E5412">
        <v>2633</v>
      </c>
      <c r="G5412" s="1">
        <v>0.99509999999999998</v>
      </c>
      <c r="H5412" s="1">
        <v>2.5000000000000001E-3</v>
      </c>
      <c r="I5412" s="1">
        <v>1.8E-3</v>
      </c>
      <c r="J5412" s="1">
        <v>5.9999999999999995E-4</v>
      </c>
    </row>
    <row r="5413" spans="1:11" x14ac:dyDescent="0.25">
      <c r="A5413" t="s">
        <v>203</v>
      </c>
      <c r="B5413" t="s">
        <v>228</v>
      </c>
      <c r="C5413">
        <v>150</v>
      </c>
      <c r="D5413" t="s">
        <v>199</v>
      </c>
      <c r="E5413">
        <v>2633</v>
      </c>
      <c r="G5413" s="1">
        <v>0.87629999999999997</v>
      </c>
      <c r="H5413" s="1">
        <v>3.0800000000000001E-2</v>
      </c>
      <c r="I5413" s="1">
        <v>9.2899999999999996E-2</v>
      </c>
    </row>
    <row r="5414" spans="1:11" x14ac:dyDescent="0.25">
      <c r="A5414" t="s">
        <v>203</v>
      </c>
      <c r="B5414" t="s">
        <v>229</v>
      </c>
      <c r="C5414">
        <v>347</v>
      </c>
      <c r="D5414" t="s">
        <v>200</v>
      </c>
      <c r="E5414">
        <v>2633</v>
      </c>
      <c r="F5414" s="1">
        <v>1.5E-3</v>
      </c>
      <c r="G5414" s="1">
        <v>0.99019999999999997</v>
      </c>
      <c r="H5414" s="1">
        <v>3.7000000000000002E-3</v>
      </c>
      <c r="I5414" s="1">
        <v>4.5999999999999999E-3</v>
      </c>
    </row>
    <row r="5415" spans="1:11" x14ac:dyDescent="0.25">
      <c r="A5415" t="s">
        <v>203</v>
      </c>
      <c r="B5415" t="s">
        <v>228</v>
      </c>
      <c r="C5415">
        <v>155</v>
      </c>
      <c r="D5415" t="s">
        <v>200</v>
      </c>
      <c r="E5415">
        <v>2633</v>
      </c>
      <c r="G5415" s="1">
        <v>0.95120000000000005</v>
      </c>
      <c r="H5415" s="1">
        <v>4.2000000000000003E-2</v>
      </c>
      <c r="I5415" s="1">
        <v>6.7999999999999996E-3</v>
      </c>
    </row>
    <row r="5416" spans="1:11" x14ac:dyDescent="0.25">
      <c r="A5416" t="s">
        <v>203</v>
      </c>
      <c r="B5416" t="s">
        <v>229</v>
      </c>
      <c r="C5416">
        <v>137</v>
      </c>
      <c r="D5416" t="s">
        <v>201</v>
      </c>
      <c r="E5416">
        <v>2633</v>
      </c>
      <c r="G5416" s="1">
        <v>0.92420000000000002</v>
      </c>
      <c r="H5416" s="1">
        <v>7.4099999999999999E-2</v>
      </c>
      <c r="I5416" s="1">
        <v>1.6999999999999999E-3</v>
      </c>
    </row>
    <row r="5417" spans="1:11" x14ac:dyDescent="0.25">
      <c r="A5417" t="s">
        <v>203</v>
      </c>
      <c r="B5417" t="s">
        <v>228</v>
      </c>
      <c r="C5417">
        <v>177</v>
      </c>
      <c r="D5417" t="s">
        <v>201</v>
      </c>
      <c r="E5417">
        <v>2633</v>
      </c>
      <c r="G5417" s="1">
        <v>0.7631</v>
      </c>
      <c r="H5417" s="1">
        <v>0.1305</v>
      </c>
      <c r="I5417" s="1">
        <v>0.1048</v>
      </c>
      <c r="J5417" s="1">
        <v>1.6000000000000001E-3</v>
      </c>
    </row>
    <row r="5418" spans="1:11" x14ac:dyDescent="0.25">
      <c r="A5418" t="s">
        <v>203</v>
      </c>
      <c r="B5418" t="s">
        <v>228</v>
      </c>
      <c r="C5418">
        <v>34</v>
      </c>
      <c r="D5418" t="s">
        <v>202</v>
      </c>
      <c r="E5418">
        <v>2633</v>
      </c>
      <c r="G5418" s="1">
        <v>0.93520000000000003</v>
      </c>
      <c r="H5418" s="1">
        <v>3.4099999999999998E-2</v>
      </c>
      <c r="I5418" s="1">
        <v>1.7500000000000002E-2</v>
      </c>
      <c r="J5418" s="1">
        <v>1.32E-2</v>
      </c>
    </row>
    <row r="5419" spans="1:11" x14ac:dyDescent="0.25">
      <c r="A5419" t="s">
        <v>203</v>
      </c>
      <c r="B5419" t="s">
        <v>229</v>
      </c>
      <c r="C5419">
        <v>56</v>
      </c>
      <c r="D5419" t="s">
        <v>202</v>
      </c>
      <c r="E5419">
        <v>2633</v>
      </c>
      <c r="G5419" s="1">
        <v>0.9788</v>
      </c>
      <c r="H5419" s="1">
        <v>1.43E-2</v>
      </c>
      <c r="J5419" s="1">
        <v>6.8999999999999999E-3</v>
      </c>
    </row>
    <row r="5420" spans="1:11" x14ac:dyDescent="0.25">
      <c r="A5420" t="s">
        <v>204</v>
      </c>
      <c r="B5420" t="s">
        <v>204</v>
      </c>
      <c r="C5420">
        <v>2633</v>
      </c>
      <c r="D5420" t="s">
        <v>204</v>
      </c>
      <c r="E5420">
        <v>2633</v>
      </c>
      <c r="F5420" s="1">
        <v>4.0000000000000002E-4</v>
      </c>
      <c r="G5420" s="1">
        <v>0.94640000000000002</v>
      </c>
      <c r="H5420" s="1">
        <v>2.7400000000000001E-2</v>
      </c>
      <c r="I5420" s="1">
        <v>2.3300000000000001E-2</v>
      </c>
      <c r="J5420" s="1">
        <v>2.2000000000000001E-3</v>
      </c>
      <c r="K5420" s="1">
        <v>2.9999999999999997E-4</v>
      </c>
    </row>
    <row r="5422" spans="1:11" x14ac:dyDescent="0.25">
      <c r="A5422" t="s">
        <v>1095</v>
      </c>
    </row>
    <row r="5423" spans="1:11" x14ac:dyDescent="0.25">
      <c r="A5423" t="s">
        <v>190</v>
      </c>
      <c r="B5423" t="s">
        <v>206</v>
      </c>
      <c r="C5423" t="s">
        <v>195</v>
      </c>
      <c r="D5423" t="s">
        <v>189</v>
      </c>
      <c r="E5423" t="s">
        <v>196</v>
      </c>
      <c r="F5423" t="s">
        <v>220</v>
      </c>
      <c r="G5423" t="s">
        <v>1090</v>
      </c>
      <c r="H5423" t="s">
        <v>1091</v>
      </c>
      <c r="I5423" t="s">
        <v>1092</v>
      </c>
      <c r="J5423" t="s">
        <v>1093</v>
      </c>
      <c r="K5423" t="s">
        <v>235</v>
      </c>
    </row>
    <row r="5424" spans="1:11" x14ac:dyDescent="0.25">
      <c r="A5424" t="s">
        <v>198</v>
      </c>
      <c r="B5424" t="s">
        <v>348</v>
      </c>
      <c r="C5424">
        <v>79</v>
      </c>
      <c r="D5424" t="s">
        <v>197</v>
      </c>
      <c r="E5424">
        <v>2633</v>
      </c>
      <c r="G5424" s="1">
        <v>0.8427</v>
      </c>
      <c r="H5424" s="1">
        <v>2.93E-2</v>
      </c>
      <c r="I5424" s="1">
        <v>0.12809999999999999</v>
      </c>
    </row>
    <row r="5425" spans="1:11" s="29" customFormat="1" x14ac:dyDescent="0.25">
      <c r="A5425" s="29" t="s">
        <v>198</v>
      </c>
      <c r="B5425" s="29" t="s">
        <v>349</v>
      </c>
      <c r="C5425" s="29">
        <v>3</v>
      </c>
      <c r="D5425" s="29" t="s">
        <v>197</v>
      </c>
      <c r="E5425" s="29">
        <v>2633</v>
      </c>
      <c r="G5425" s="30">
        <v>0.66669999999999996</v>
      </c>
      <c r="H5425" s="30">
        <v>0.33329999999999999</v>
      </c>
    </row>
    <row r="5426" spans="1:11" x14ac:dyDescent="0.25">
      <c r="A5426" t="s">
        <v>198</v>
      </c>
      <c r="B5426" t="s">
        <v>348</v>
      </c>
      <c r="C5426">
        <v>54</v>
      </c>
      <c r="D5426" t="s">
        <v>199</v>
      </c>
      <c r="E5426">
        <v>2633</v>
      </c>
      <c r="G5426" s="1">
        <v>0.90329999999999999</v>
      </c>
      <c r="H5426" s="1">
        <v>3.8899999999999997E-2</v>
      </c>
      <c r="I5426" s="1">
        <v>5.79E-2</v>
      </c>
    </row>
    <row r="5427" spans="1:11" x14ac:dyDescent="0.25">
      <c r="A5427" t="s">
        <v>198</v>
      </c>
      <c r="B5427" t="s">
        <v>349</v>
      </c>
      <c r="C5427">
        <v>111</v>
      </c>
      <c r="D5427" t="s">
        <v>199</v>
      </c>
      <c r="E5427">
        <v>2633</v>
      </c>
      <c r="G5427" s="1">
        <v>0.89870000000000005</v>
      </c>
      <c r="H5427" s="1">
        <v>6.0199999999999997E-2</v>
      </c>
      <c r="I5427" s="1">
        <v>4.1000000000000002E-2</v>
      </c>
    </row>
    <row r="5428" spans="1:11" x14ac:dyDescent="0.25">
      <c r="A5428" t="s">
        <v>198</v>
      </c>
      <c r="B5428" t="s">
        <v>350</v>
      </c>
      <c r="C5428">
        <v>193</v>
      </c>
      <c r="D5428" t="s">
        <v>199</v>
      </c>
      <c r="E5428">
        <v>2633</v>
      </c>
      <c r="G5428" s="1">
        <v>0.95569999999999999</v>
      </c>
      <c r="H5428" s="1">
        <v>1.9099999999999999E-2</v>
      </c>
      <c r="I5428" s="1">
        <v>2.0199999999999999E-2</v>
      </c>
      <c r="K5428" s="1">
        <v>4.8999999999999998E-3</v>
      </c>
    </row>
    <row r="5429" spans="1:11" x14ac:dyDescent="0.25">
      <c r="A5429" t="s">
        <v>198</v>
      </c>
      <c r="B5429" t="s">
        <v>350</v>
      </c>
      <c r="C5429">
        <v>78</v>
      </c>
      <c r="D5429" t="s">
        <v>200</v>
      </c>
      <c r="E5429">
        <v>2633</v>
      </c>
      <c r="G5429" s="1">
        <v>0.87729999999999997</v>
      </c>
      <c r="H5429" s="1">
        <v>1.49E-2</v>
      </c>
      <c r="I5429" s="1">
        <v>9.3600000000000003E-2</v>
      </c>
      <c r="J5429" s="1">
        <v>1.41E-2</v>
      </c>
    </row>
    <row r="5430" spans="1:11" x14ac:dyDescent="0.25">
      <c r="A5430" t="s">
        <v>198</v>
      </c>
      <c r="B5430" t="s">
        <v>348</v>
      </c>
      <c r="C5430">
        <v>242</v>
      </c>
      <c r="D5430" t="s">
        <v>200</v>
      </c>
      <c r="E5430">
        <v>2633</v>
      </c>
      <c r="G5430" s="1">
        <v>0.97589999999999999</v>
      </c>
      <c r="H5430" s="1">
        <v>1.5699999999999999E-2</v>
      </c>
      <c r="I5430" s="1">
        <v>8.3999999999999995E-3</v>
      </c>
    </row>
    <row r="5431" spans="1:11" x14ac:dyDescent="0.25">
      <c r="A5431" t="s">
        <v>198</v>
      </c>
      <c r="B5431" t="s">
        <v>349</v>
      </c>
      <c r="C5431">
        <v>62</v>
      </c>
      <c r="D5431" t="s">
        <v>200</v>
      </c>
      <c r="E5431">
        <v>2633</v>
      </c>
      <c r="G5431" s="1">
        <v>0.80559999999999998</v>
      </c>
      <c r="H5431" s="1">
        <v>0.1028</v>
      </c>
      <c r="I5431" s="1">
        <v>9.1700000000000004E-2</v>
      </c>
    </row>
    <row r="5432" spans="1:11" x14ac:dyDescent="0.25">
      <c r="A5432" t="s">
        <v>198</v>
      </c>
      <c r="B5432" t="s">
        <v>349</v>
      </c>
      <c r="C5432">
        <v>125</v>
      </c>
      <c r="D5432" t="s">
        <v>201</v>
      </c>
      <c r="E5432">
        <v>2633</v>
      </c>
      <c r="G5432" s="1">
        <v>0.94920000000000004</v>
      </c>
      <c r="H5432" s="1">
        <v>1.1599999999999999E-2</v>
      </c>
      <c r="I5432" s="1">
        <v>2.5600000000000001E-2</v>
      </c>
      <c r="J5432" s="1">
        <v>1.3599999999999999E-2</v>
      </c>
    </row>
    <row r="5433" spans="1:11" x14ac:dyDescent="0.25">
      <c r="A5433" t="s">
        <v>198</v>
      </c>
      <c r="B5433" t="s">
        <v>350</v>
      </c>
      <c r="C5433">
        <v>63</v>
      </c>
      <c r="D5433" t="s">
        <v>201</v>
      </c>
      <c r="E5433">
        <v>2633</v>
      </c>
      <c r="G5433" s="1">
        <v>0.83799999999999997</v>
      </c>
      <c r="H5433" s="1">
        <v>5.5899999999999998E-2</v>
      </c>
      <c r="I5433" s="1">
        <v>0.1061</v>
      </c>
    </row>
    <row r="5434" spans="1:11" x14ac:dyDescent="0.25">
      <c r="A5434" t="s">
        <v>198</v>
      </c>
      <c r="B5434" t="s">
        <v>348</v>
      </c>
      <c r="C5434">
        <v>62</v>
      </c>
      <c r="D5434" t="s">
        <v>201</v>
      </c>
      <c r="E5434">
        <v>2633</v>
      </c>
      <c r="G5434" s="1">
        <v>0.88219999999999998</v>
      </c>
      <c r="H5434" s="1">
        <v>4.1000000000000002E-2</v>
      </c>
      <c r="I5434" s="1">
        <v>6.5600000000000006E-2</v>
      </c>
      <c r="J5434" s="1">
        <v>1.1299999999999999E-2</v>
      </c>
    </row>
    <row r="5435" spans="1:11" x14ac:dyDescent="0.25">
      <c r="A5435" t="s">
        <v>198</v>
      </c>
      <c r="B5435" t="s">
        <v>348</v>
      </c>
      <c r="C5435">
        <v>96</v>
      </c>
      <c r="D5435" t="s">
        <v>202</v>
      </c>
      <c r="E5435">
        <v>2633</v>
      </c>
      <c r="G5435" s="1">
        <v>0.90390000000000004</v>
      </c>
      <c r="H5435" s="1">
        <v>6.6900000000000001E-2</v>
      </c>
      <c r="I5435" s="1">
        <v>1.8700000000000001E-2</v>
      </c>
      <c r="J5435" s="1">
        <v>1.0500000000000001E-2</v>
      </c>
    </row>
    <row r="5436" spans="1:11" x14ac:dyDescent="0.25">
      <c r="A5436" t="s">
        <v>203</v>
      </c>
      <c r="B5436" t="s">
        <v>349</v>
      </c>
      <c r="C5436">
        <v>171</v>
      </c>
      <c r="D5436" t="s">
        <v>199</v>
      </c>
      <c r="E5436">
        <v>2633</v>
      </c>
      <c r="G5436" s="1">
        <v>0.96840000000000004</v>
      </c>
      <c r="H5436" s="1">
        <v>5.8999999999999999E-3</v>
      </c>
      <c r="I5436" s="1">
        <v>2.4199999999999999E-2</v>
      </c>
      <c r="J5436" s="1">
        <v>1.6000000000000001E-3</v>
      </c>
    </row>
    <row r="5437" spans="1:11" x14ac:dyDescent="0.25">
      <c r="A5437" t="s">
        <v>203</v>
      </c>
      <c r="B5437" t="s">
        <v>348</v>
      </c>
      <c r="C5437">
        <v>42</v>
      </c>
      <c r="D5437" t="s">
        <v>199</v>
      </c>
      <c r="E5437">
        <v>2633</v>
      </c>
      <c r="G5437" s="1">
        <v>0.95320000000000005</v>
      </c>
      <c r="H5437" s="1">
        <v>4.6800000000000001E-2</v>
      </c>
    </row>
    <row r="5438" spans="1:11" x14ac:dyDescent="0.25">
      <c r="A5438" t="s">
        <v>203</v>
      </c>
      <c r="B5438" t="s">
        <v>350</v>
      </c>
      <c r="C5438">
        <v>307</v>
      </c>
      <c r="D5438" t="s">
        <v>199</v>
      </c>
      <c r="E5438">
        <v>2633</v>
      </c>
      <c r="G5438" s="1">
        <v>0.99180000000000001</v>
      </c>
      <c r="H5438" s="1">
        <v>2.5999999999999999E-3</v>
      </c>
      <c r="I5438" s="1">
        <v>5.7000000000000002E-3</v>
      </c>
    </row>
    <row r="5439" spans="1:11" x14ac:dyDescent="0.25">
      <c r="A5439" t="s">
        <v>203</v>
      </c>
      <c r="B5439" t="s">
        <v>348</v>
      </c>
      <c r="C5439">
        <v>300</v>
      </c>
      <c r="D5439" t="s">
        <v>200</v>
      </c>
      <c r="E5439">
        <v>2633</v>
      </c>
      <c r="G5439" s="1">
        <v>0.98470000000000002</v>
      </c>
      <c r="H5439" s="1">
        <v>1.11E-2</v>
      </c>
      <c r="I5439" s="1">
        <v>4.1999999999999997E-3</v>
      </c>
    </row>
    <row r="5440" spans="1:11" x14ac:dyDescent="0.25">
      <c r="A5440" t="s">
        <v>203</v>
      </c>
      <c r="B5440" t="s">
        <v>349</v>
      </c>
      <c r="C5440">
        <v>108</v>
      </c>
      <c r="D5440" t="s">
        <v>200</v>
      </c>
      <c r="E5440">
        <v>2633</v>
      </c>
      <c r="F5440" s="1">
        <v>1.5299999999999999E-2</v>
      </c>
      <c r="G5440" s="1">
        <v>0.95420000000000005</v>
      </c>
      <c r="H5440" s="1">
        <v>1.5299999999999999E-2</v>
      </c>
      <c r="I5440" s="1">
        <v>1.5299999999999999E-2</v>
      </c>
    </row>
    <row r="5441" spans="1:11" x14ac:dyDescent="0.25">
      <c r="A5441" t="s">
        <v>203</v>
      </c>
      <c r="B5441" t="s">
        <v>350</v>
      </c>
      <c r="C5441">
        <v>94</v>
      </c>
      <c r="D5441" t="s">
        <v>200</v>
      </c>
      <c r="E5441">
        <v>2633</v>
      </c>
      <c r="G5441" s="1">
        <v>0.99560000000000004</v>
      </c>
      <c r="H5441" s="1">
        <v>2.2000000000000001E-3</v>
      </c>
      <c r="I5441" s="1">
        <v>2.2000000000000001E-3</v>
      </c>
    </row>
    <row r="5442" spans="1:11" x14ac:dyDescent="0.25">
      <c r="A5442" t="s">
        <v>203</v>
      </c>
      <c r="B5442" t="s">
        <v>348</v>
      </c>
      <c r="C5442">
        <v>62</v>
      </c>
      <c r="D5442" t="s">
        <v>201</v>
      </c>
      <c r="E5442">
        <v>2633</v>
      </c>
      <c r="G5442" s="1">
        <v>0.84889999999999999</v>
      </c>
      <c r="H5442" s="1">
        <v>4.1099999999999998E-2</v>
      </c>
      <c r="I5442" s="1">
        <v>0.11</v>
      </c>
    </row>
    <row r="5443" spans="1:11" x14ac:dyDescent="0.25">
      <c r="A5443" t="s">
        <v>203</v>
      </c>
      <c r="B5443" t="s">
        <v>349</v>
      </c>
      <c r="C5443">
        <v>147</v>
      </c>
      <c r="D5443" t="s">
        <v>201</v>
      </c>
      <c r="E5443">
        <v>2633</v>
      </c>
      <c r="G5443" s="1">
        <v>0.88680000000000003</v>
      </c>
      <c r="H5443" s="1">
        <v>9.8199999999999996E-2</v>
      </c>
      <c r="I5443" s="1">
        <v>1.4800000000000001E-2</v>
      </c>
      <c r="J5443" s="1">
        <v>2.0000000000000001E-4</v>
      </c>
    </row>
    <row r="5444" spans="1:11" x14ac:dyDescent="0.25">
      <c r="A5444" t="s">
        <v>203</v>
      </c>
      <c r="B5444" t="s">
        <v>350</v>
      </c>
      <c r="C5444">
        <v>105</v>
      </c>
      <c r="D5444" t="s">
        <v>201</v>
      </c>
      <c r="E5444">
        <v>2633</v>
      </c>
      <c r="G5444" s="1">
        <v>0.93</v>
      </c>
      <c r="H5444" s="1">
        <v>3.7199999999999997E-2</v>
      </c>
      <c r="I5444" s="1">
        <v>0.03</v>
      </c>
      <c r="J5444" s="1">
        <v>2.8E-3</v>
      </c>
    </row>
    <row r="5445" spans="1:11" x14ac:dyDescent="0.25">
      <c r="A5445" t="s">
        <v>203</v>
      </c>
      <c r="B5445" t="s">
        <v>348</v>
      </c>
      <c r="C5445">
        <v>90</v>
      </c>
      <c r="D5445" t="s">
        <v>202</v>
      </c>
      <c r="E5445">
        <v>2633</v>
      </c>
      <c r="G5445" s="1">
        <v>0.96650000000000003</v>
      </c>
      <c r="H5445" s="1">
        <v>1.9900000000000001E-2</v>
      </c>
      <c r="I5445" s="1">
        <v>4.8999999999999998E-3</v>
      </c>
      <c r="J5445" s="1">
        <v>8.6999999999999994E-3</v>
      </c>
    </row>
    <row r="5446" spans="1:11" x14ac:dyDescent="0.25">
      <c r="A5446" t="s">
        <v>204</v>
      </c>
      <c r="B5446" t="s">
        <v>204</v>
      </c>
      <c r="C5446">
        <v>2633</v>
      </c>
      <c r="D5446" t="s">
        <v>204</v>
      </c>
      <c r="E5446">
        <v>2633</v>
      </c>
      <c r="F5446" s="1">
        <v>4.0000000000000002E-4</v>
      </c>
      <c r="G5446" s="1">
        <v>0.94640000000000002</v>
      </c>
      <c r="H5446" s="1">
        <v>2.7400000000000001E-2</v>
      </c>
      <c r="I5446" s="1">
        <v>2.3300000000000001E-2</v>
      </c>
      <c r="J5446" s="1">
        <v>2.2000000000000001E-3</v>
      </c>
      <c r="K5446" s="1">
        <v>2.9999999999999997E-4</v>
      </c>
    </row>
    <row r="5448" spans="1:11" x14ac:dyDescent="0.25">
      <c r="A5448" t="s">
        <v>1096</v>
      </c>
    </row>
    <row r="5449" spans="1:11" x14ac:dyDescent="0.25">
      <c r="A5449" t="s">
        <v>190</v>
      </c>
      <c r="B5449" t="s">
        <v>195</v>
      </c>
      <c r="C5449" t="s">
        <v>189</v>
      </c>
      <c r="D5449" t="s">
        <v>196</v>
      </c>
      <c r="E5449" t="s">
        <v>220</v>
      </c>
      <c r="F5449" t="s">
        <v>207</v>
      </c>
      <c r="G5449" t="s">
        <v>215</v>
      </c>
      <c r="H5449" t="s">
        <v>208</v>
      </c>
    </row>
    <row r="5450" spans="1:11" x14ac:dyDescent="0.25">
      <c r="A5450" t="s">
        <v>198</v>
      </c>
      <c r="B5450">
        <v>82</v>
      </c>
      <c r="C5450" t="s">
        <v>197</v>
      </c>
      <c r="D5450">
        <v>2633</v>
      </c>
      <c r="H5450" s="1">
        <v>1</v>
      </c>
    </row>
    <row r="5451" spans="1:11" x14ac:dyDescent="0.25">
      <c r="A5451" t="s">
        <v>198</v>
      </c>
      <c r="B5451">
        <v>368</v>
      </c>
      <c r="C5451" t="s">
        <v>199</v>
      </c>
      <c r="D5451">
        <v>2633</v>
      </c>
      <c r="F5451" s="1">
        <v>3.7000000000000002E-3</v>
      </c>
      <c r="H5451" s="1">
        <v>0.99629999999999996</v>
      </c>
    </row>
    <row r="5452" spans="1:11" x14ac:dyDescent="0.25">
      <c r="A5452" t="s">
        <v>198</v>
      </c>
      <c r="B5452">
        <v>387</v>
      </c>
      <c r="C5452" t="s">
        <v>200</v>
      </c>
      <c r="D5452">
        <v>2633</v>
      </c>
      <c r="F5452" s="1">
        <v>4.5999999999999999E-3</v>
      </c>
      <c r="H5452" s="1">
        <v>0.99539999999999995</v>
      </c>
    </row>
    <row r="5453" spans="1:11" x14ac:dyDescent="0.25">
      <c r="A5453" t="s">
        <v>198</v>
      </c>
      <c r="B5453">
        <v>256</v>
      </c>
      <c r="C5453" t="s">
        <v>201</v>
      </c>
      <c r="D5453">
        <v>2633</v>
      </c>
      <c r="E5453" s="1">
        <v>2.9999999999999997E-4</v>
      </c>
      <c r="F5453" s="1">
        <v>1.1999999999999999E-3</v>
      </c>
      <c r="H5453" s="1">
        <v>0.99839999999999995</v>
      </c>
    </row>
    <row r="5454" spans="1:11" x14ac:dyDescent="0.25">
      <c r="A5454" t="s">
        <v>198</v>
      </c>
      <c r="B5454">
        <v>96</v>
      </c>
      <c r="C5454" t="s">
        <v>202</v>
      </c>
      <c r="D5454">
        <v>2633</v>
      </c>
      <c r="F5454" s="1">
        <v>8.0000000000000002E-3</v>
      </c>
      <c r="G5454" s="1">
        <v>8.0000000000000002E-3</v>
      </c>
      <c r="H5454" s="1">
        <v>0.98399999999999999</v>
      </c>
    </row>
    <row r="5455" spans="1:11" x14ac:dyDescent="0.25">
      <c r="A5455" t="s">
        <v>203</v>
      </c>
      <c r="B5455">
        <v>530</v>
      </c>
      <c r="C5455" t="s">
        <v>199</v>
      </c>
      <c r="D5455">
        <v>2633</v>
      </c>
      <c r="E5455" s="1">
        <v>5.0000000000000001E-4</v>
      </c>
      <c r="F5455" s="1">
        <v>2.3E-3</v>
      </c>
      <c r="H5455" s="1">
        <v>0.99719999999999998</v>
      </c>
    </row>
    <row r="5456" spans="1:11" x14ac:dyDescent="0.25">
      <c r="A5456" t="s">
        <v>203</v>
      </c>
      <c r="B5456">
        <v>503</v>
      </c>
      <c r="C5456" t="s">
        <v>200</v>
      </c>
      <c r="D5456">
        <v>2633</v>
      </c>
      <c r="H5456" s="1">
        <v>1</v>
      </c>
    </row>
    <row r="5457" spans="1:9" x14ac:dyDescent="0.25">
      <c r="A5457" t="s">
        <v>203</v>
      </c>
      <c r="B5457">
        <v>321</v>
      </c>
      <c r="C5457" t="s">
        <v>201</v>
      </c>
      <c r="D5457">
        <v>2633</v>
      </c>
      <c r="F5457" s="1">
        <v>6.9999999999999999E-4</v>
      </c>
      <c r="G5457" s="1">
        <v>6.9999999999999999E-4</v>
      </c>
      <c r="H5457" s="1">
        <v>0.99860000000000004</v>
      </c>
    </row>
    <row r="5458" spans="1:9" x14ac:dyDescent="0.25">
      <c r="A5458" t="s">
        <v>203</v>
      </c>
      <c r="B5458">
        <v>90</v>
      </c>
      <c r="C5458" t="s">
        <v>202</v>
      </c>
      <c r="D5458">
        <v>2633</v>
      </c>
      <c r="F5458" s="1">
        <v>4.8999999999999998E-3</v>
      </c>
      <c r="H5458" s="1">
        <v>0.99509999999999998</v>
      </c>
    </row>
    <row r="5459" spans="1:9" x14ac:dyDescent="0.25">
      <c r="A5459" t="s">
        <v>204</v>
      </c>
      <c r="B5459">
        <v>2633</v>
      </c>
      <c r="C5459" t="s">
        <v>204</v>
      </c>
      <c r="D5459">
        <v>2633</v>
      </c>
      <c r="E5459" s="1">
        <v>1E-4</v>
      </c>
      <c r="F5459" s="1">
        <v>2.3999999999999998E-3</v>
      </c>
      <c r="G5459" s="1">
        <v>8.0000000000000004E-4</v>
      </c>
      <c r="H5459" s="1">
        <v>0.99670000000000003</v>
      </c>
    </row>
    <row r="5461" spans="1:9" x14ac:dyDescent="0.25">
      <c r="A5461" t="s">
        <v>1097</v>
      </c>
    </row>
    <row r="5462" spans="1:9" x14ac:dyDescent="0.25">
      <c r="A5462" t="s">
        <v>190</v>
      </c>
      <c r="B5462" t="s">
        <v>206</v>
      </c>
      <c r="C5462" t="s">
        <v>195</v>
      </c>
      <c r="D5462" t="s">
        <v>189</v>
      </c>
      <c r="E5462" t="s">
        <v>196</v>
      </c>
      <c r="F5462" t="s">
        <v>220</v>
      </c>
      <c r="G5462" t="s">
        <v>207</v>
      </c>
      <c r="H5462" t="s">
        <v>215</v>
      </c>
      <c r="I5462" t="s">
        <v>208</v>
      </c>
    </row>
    <row r="5463" spans="1:9" x14ac:dyDescent="0.25">
      <c r="A5463" t="s">
        <v>198</v>
      </c>
      <c r="B5463" t="s">
        <v>228</v>
      </c>
      <c r="C5463">
        <v>33</v>
      </c>
      <c r="D5463" t="s">
        <v>197</v>
      </c>
      <c r="E5463">
        <v>2633</v>
      </c>
      <c r="I5463" s="1">
        <v>1</v>
      </c>
    </row>
    <row r="5464" spans="1:9" x14ac:dyDescent="0.25">
      <c r="A5464" t="s">
        <v>198</v>
      </c>
      <c r="B5464" t="s">
        <v>229</v>
      </c>
      <c r="C5464">
        <v>49</v>
      </c>
      <c r="D5464" t="s">
        <v>197</v>
      </c>
      <c r="E5464">
        <v>2633</v>
      </c>
      <c r="I5464" s="1">
        <v>1</v>
      </c>
    </row>
    <row r="5465" spans="1:9" x14ac:dyDescent="0.25">
      <c r="A5465" t="s">
        <v>198</v>
      </c>
      <c r="B5465" t="s">
        <v>228</v>
      </c>
      <c r="C5465">
        <v>145</v>
      </c>
      <c r="D5465" t="s">
        <v>199</v>
      </c>
      <c r="E5465">
        <v>2633</v>
      </c>
      <c r="G5465" s="1">
        <v>4.8999999999999998E-3</v>
      </c>
      <c r="I5465" s="1">
        <v>0.99509999999999998</v>
      </c>
    </row>
    <row r="5466" spans="1:9" x14ac:dyDescent="0.25">
      <c r="A5466" t="s">
        <v>198</v>
      </c>
      <c r="B5466" t="s">
        <v>229</v>
      </c>
      <c r="C5466">
        <v>213</v>
      </c>
      <c r="D5466" t="s">
        <v>199</v>
      </c>
      <c r="E5466">
        <v>2633</v>
      </c>
      <c r="G5466" s="1">
        <v>3.3E-3</v>
      </c>
      <c r="I5466" s="1">
        <v>0.99670000000000003</v>
      </c>
    </row>
    <row r="5467" spans="1:9" x14ac:dyDescent="0.25">
      <c r="A5467" t="s">
        <v>198</v>
      </c>
      <c r="B5467" t="s">
        <v>229</v>
      </c>
      <c r="C5467">
        <v>270</v>
      </c>
      <c r="D5467" t="s">
        <v>200</v>
      </c>
      <c r="E5467">
        <v>2633</v>
      </c>
      <c r="G5467" s="1">
        <v>6.0000000000000001E-3</v>
      </c>
      <c r="I5467" s="1">
        <v>0.99399999999999999</v>
      </c>
    </row>
    <row r="5468" spans="1:9" x14ac:dyDescent="0.25">
      <c r="A5468" t="s">
        <v>198</v>
      </c>
      <c r="B5468" t="s">
        <v>228</v>
      </c>
      <c r="C5468">
        <v>112</v>
      </c>
      <c r="D5468" t="s">
        <v>200</v>
      </c>
      <c r="E5468">
        <v>2633</v>
      </c>
      <c r="I5468" s="1">
        <v>1</v>
      </c>
    </row>
    <row r="5469" spans="1:9" x14ac:dyDescent="0.25">
      <c r="A5469" t="s">
        <v>198</v>
      </c>
      <c r="B5469" t="s">
        <v>228</v>
      </c>
      <c r="C5469">
        <v>95</v>
      </c>
      <c r="D5469" t="s">
        <v>201</v>
      </c>
      <c r="E5469">
        <v>2633</v>
      </c>
      <c r="F5469" s="1">
        <v>1.5E-3</v>
      </c>
      <c r="G5469" s="1">
        <v>5.7999999999999996E-3</v>
      </c>
      <c r="I5469" s="1">
        <v>0.99270000000000003</v>
      </c>
    </row>
    <row r="5470" spans="1:9" x14ac:dyDescent="0.25">
      <c r="A5470" t="s">
        <v>198</v>
      </c>
      <c r="B5470" t="s">
        <v>229</v>
      </c>
      <c r="C5470">
        <v>155</v>
      </c>
      <c r="D5470" t="s">
        <v>201</v>
      </c>
      <c r="E5470">
        <v>2633</v>
      </c>
      <c r="I5470" s="1">
        <v>1</v>
      </c>
    </row>
    <row r="5471" spans="1:9" s="29" customFormat="1" x14ac:dyDescent="0.25">
      <c r="A5471" s="29" t="s">
        <v>198</v>
      </c>
      <c r="B5471" s="29" t="s">
        <v>228</v>
      </c>
      <c r="C5471" s="29">
        <v>28</v>
      </c>
      <c r="D5471" s="29" t="s">
        <v>202</v>
      </c>
      <c r="E5471" s="29">
        <v>2633</v>
      </c>
      <c r="G5471" s="30">
        <v>3.39E-2</v>
      </c>
      <c r="H5471" s="30">
        <v>3.39E-2</v>
      </c>
      <c r="I5471" s="30">
        <v>0.93230000000000002</v>
      </c>
    </row>
    <row r="5472" spans="1:9" x14ac:dyDescent="0.25">
      <c r="A5472" t="s">
        <v>198</v>
      </c>
      <c r="B5472" t="s">
        <v>229</v>
      </c>
      <c r="C5472">
        <v>68</v>
      </c>
      <c r="D5472" t="s">
        <v>202</v>
      </c>
      <c r="E5472">
        <v>2633</v>
      </c>
      <c r="I5472" s="1">
        <v>1</v>
      </c>
    </row>
    <row r="5473" spans="1:9" x14ac:dyDescent="0.25">
      <c r="A5473" t="s">
        <v>203</v>
      </c>
      <c r="B5473" t="s">
        <v>229</v>
      </c>
      <c r="C5473">
        <v>370</v>
      </c>
      <c r="D5473" t="s">
        <v>199</v>
      </c>
      <c r="E5473">
        <v>2633</v>
      </c>
      <c r="F5473" s="1">
        <v>5.9999999999999995E-4</v>
      </c>
      <c r="G5473" s="1">
        <v>1.1999999999999999E-3</v>
      </c>
      <c r="I5473" s="1">
        <v>0.99819999999999998</v>
      </c>
    </row>
    <row r="5474" spans="1:9" x14ac:dyDescent="0.25">
      <c r="A5474" t="s">
        <v>203</v>
      </c>
      <c r="B5474" t="s">
        <v>228</v>
      </c>
      <c r="C5474">
        <v>150</v>
      </c>
      <c r="D5474" t="s">
        <v>199</v>
      </c>
      <c r="E5474">
        <v>2633</v>
      </c>
      <c r="G5474" s="1">
        <v>1.11E-2</v>
      </c>
      <c r="I5474" s="1">
        <v>0.9889</v>
      </c>
    </row>
    <row r="5475" spans="1:9" x14ac:dyDescent="0.25">
      <c r="A5475" t="s">
        <v>203</v>
      </c>
      <c r="B5475" t="s">
        <v>229</v>
      </c>
      <c r="C5475">
        <v>347</v>
      </c>
      <c r="D5475" t="s">
        <v>200</v>
      </c>
      <c r="E5475">
        <v>2633</v>
      </c>
      <c r="I5475" s="1">
        <v>1</v>
      </c>
    </row>
    <row r="5476" spans="1:9" x14ac:dyDescent="0.25">
      <c r="A5476" t="s">
        <v>203</v>
      </c>
      <c r="B5476" t="s">
        <v>228</v>
      </c>
      <c r="C5476">
        <v>155</v>
      </c>
      <c r="D5476" t="s">
        <v>200</v>
      </c>
      <c r="E5476">
        <v>2633</v>
      </c>
      <c r="I5476" s="1">
        <v>1</v>
      </c>
    </row>
    <row r="5477" spans="1:9" x14ac:dyDescent="0.25">
      <c r="A5477" t="s">
        <v>203</v>
      </c>
      <c r="B5477" t="s">
        <v>229</v>
      </c>
      <c r="C5477">
        <v>137</v>
      </c>
      <c r="D5477" t="s">
        <v>201</v>
      </c>
      <c r="E5477">
        <v>2633</v>
      </c>
      <c r="G5477" s="1">
        <v>8.9999999999999998E-4</v>
      </c>
      <c r="I5477" s="1">
        <v>0.99909999999999999</v>
      </c>
    </row>
    <row r="5478" spans="1:9" x14ac:dyDescent="0.25">
      <c r="A5478" t="s">
        <v>203</v>
      </c>
      <c r="B5478" t="s">
        <v>228</v>
      </c>
      <c r="C5478">
        <v>177</v>
      </c>
      <c r="D5478" t="s">
        <v>201</v>
      </c>
      <c r="E5478">
        <v>2633</v>
      </c>
      <c r="H5478" s="1">
        <v>3.0000000000000001E-3</v>
      </c>
      <c r="I5478" s="1">
        <v>0.997</v>
      </c>
    </row>
    <row r="5479" spans="1:9" x14ac:dyDescent="0.25">
      <c r="A5479" t="s">
        <v>203</v>
      </c>
      <c r="B5479" t="s">
        <v>228</v>
      </c>
      <c r="C5479">
        <v>34</v>
      </c>
      <c r="D5479" t="s">
        <v>202</v>
      </c>
      <c r="E5479">
        <v>2633</v>
      </c>
      <c r="I5479" s="1">
        <v>1</v>
      </c>
    </row>
    <row r="5480" spans="1:9" x14ac:dyDescent="0.25">
      <c r="A5480" t="s">
        <v>203</v>
      </c>
      <c r="B5480" t="s">
        <v>229</v>
      </c>
      <c r="C5480">
        <v>56</v>
      </c>
      <c r="D5480" t="s">
        <v>202</v>
      </c>
      <c r="E5480">
        <v>2633</v>
      </c>
      <c r="G5480" s="1">
        <v>6.8999999999999999E-3</v>
      </c>
      <c r="I5480" s="1">
        <v>0.99309999999999998</v>
      </c>
    </row>
    <row r="5481" spans="1:9" x14ac:dyDescent="0.25">
      <c r="A5481" t="s">
        <v>204</v>
      </c>
      <c r="B5481" t="s">
        <v>204</v>
      </c>
      <c r="C5481">
        <v>2633</v>
      </c>
      <c r="D5481" t="s">
        <v>204</v>
      </c>
      <c r="E5481">
        <v>2633</v>
      </c>
      <c r="F5481" s="1">
        <v>1E-4</v>
      </c>
      <c r="G5481" s="1">
        <v>2.3999999999999998E-3</v>
      </c>
      <c r="H5481" s="1">
        <v>8.0000000000000004E-4</v>
      </c>
      <c r="I5481" s="1">
        <v>0.99670000000000003</v>
      </c>
    </row>
    <row r="5483" spans="1:9" x14ac:dyDescent="0.25">
      <c r="A5483" t="s">
        <v>1098</v>
      </c>
    </row>
    <row r="5484" spans="1:9" x14ac:dyDescent="0.25">
      <c r="A5484" t="s">
        <v>190</v>
      </c>
      <c r="B5484" t="s">
        <v>206</v>
      </c>
      <c r="C5484" t="s">
        <v>195</v>
      </c>
      <c r="D5484" t="s">
        <v>189</v>
      </c>
      <c r="E5484" t="s">
        <v>196</v>
      </c>
      <c r="F5484" t="s">
        <v>220</v>
      </c>
      <c r="G5484" t="s">
        <v>207</v>
      </c>
      <c r="H5484" t="s">
        <v>215</v>
      </c>
      <c r="I5484" t="s">
        <v>208</v>
      </c>
    </row>
    <row r="5485" spans="1:9" x14ac:dyDescent="0.25">
      <c r="A5485" t="s">
        <v>198</v>
      </c>
      <c r="B5485" t="s">
        <v>348</v>
      </c>
      <c r="C5485">
        <v>79</v>
      </c>
      <c r="D5485" t="s">
        <v>197</v>
      </c>
      <c r="E5485">
        <v>2633</v>
      </c>
      <c r="I5485" s="1">
        <v>1</v>
      </c>
    </row>
    <row r="5486" spans="1:9" s="29" customFormat="1" x14ac:dyDescent="0.25">
      <c r="A5486" s="29" t="s">
        <v>198</v>
      </c>
      <c r="B5486" s="29" t="s">
        <v>349</v>
      </c>
      <c r="C5486" s="29">
        <v>3</v>
      </c>
      <c r="D5486" s="29" t="s">
        <v>197</v>
      </c>
      <c r="E5486" s="29">
        <v>2633</v>
      </c>
      <c r="I5486" s="30">
        <v>1</v>
      </c>
    </row>
    <row r="5487" spans="1:9" x14ac:dyDescent="0.25">
      <c r="A5487" t="s">
        <v>198</v>
      </c>
      <c r="B5487" t="s">
        <v>348</v>
      </c>
      <c r="C5487">
        <v>54</v>
      </c>
      <c r="D5487" t="s">
        <v>199</v>
      </c>
      <c r="E5487">
        <v>2633</v>
      </c>
      <c r="I5487" s="1">
        <v>1</v>
      </c>
    </row>
    <row r="5488" spans="1:9" x14ac:dyDescent="0.25">
      <c r="A5488" t="s">
        <v>198</v>
      </c>
      <c r="B5488" t="s">
        <v>349</v>
      </c>
      <c r="C5488">
        <v>111</v>
      </c>
      <c r="D5488" t="s">
        <v>199</v>
      </c>
      <c r="E5488">
        <v>2633</v>
      </c>
      <c r="I5488" s="1">
        <v>1</v>
      </c>
    </row>
    <row r="5489" spans="1:9" x14ac:dyDescent="0.25">
      <c r="A5489" t="s">
        <v>198</v>
      </c>
      <c r="B5489" t="s">
        <v>350</v>
      </c>
      <c r="C5489">
        <v>193</v>
      </c>
      <c r="D5489" t="s">
        <v>199</v>
      </c>
      <c r="E5489">
        <v>2633</v>
      </c>
      <c r="G5489" s="1">
        <v>9.1000000000000004E-3</v>
      </c>
      <c r="I5489" s="1">
        <v>0.9909</v>
      </c>
    </row>
    <row r="5490" spans="1:9" x14ac:dyDescent="0.25">
      <c r="A5490" t="s">
        <v>198</v>
      </c>
      <c r="B5490" t="s">
        <v>350</v>
      </c>
      <c r="C5490">
        <v>78</v>
      </c>
      <c r="D5490" t="s">
        <v>200</v>
      </c>
      <c r="E5490">
        <v>2633</v>
      </c>
      <c r="I5490" s="1">
        <v>1</v>
      </c>
    </row>
    <row r="5491" spans="1:9" x14ac:dyDescent="0.25">
      <c r="A5491" t="s">
        <v>198</v>
      </c>
      <c r="B5491" t="s">
        <v>348</v>
      </c>
      <c r="C5491">
        <v>242</v>
      </c>
      <c r="D5491" t="s">
        <v>200</v>
      </c>
      <c r="E5491">
        <v>2633</v>
      </c>
      <c r="G5491" s="1">
        <v>5.3E-3</v>
      </c>
      <c r="I5491" s="1">
        <v>0.99470000000000003</v>
      </c>
    </row>
    <row r="5492" spans="1:9" x14ac:dyDescent="0.25">
      <c r="A5492" t="s">
        <v>198</v>
      </c>
      <c r="B5492" t="s">
        <v>349</v>
      </c>
      <c r="C5492">
        <v>62</v>
      </c>
      <c r="D5492" t="s">
        <v>200</v>
      </c>
      <c r="E5492">
        <v>2633</v>
      </c>
      <c r="I5492" s="1">
        <v>1</v>
      </c>
    </row>
    <row r="5493" spans="1:9" x14ac:dyDescent="0.25">
      <c r="A5493" t="s">
        <v>198</v>
      </c>
      <c r="B5493" t="s">
        <v>349</v>
      </c>
      <c r="C5493">
        <v>125</v>
      </c>
      <c r="D5493" t="s">
        <v>201</v>
      </c>
      <c r="E5493">
        <v>2633</v>
      </c>
      <c r="F5493" s="1">
        <v>5.0000000000000001E-4</v>
      </c>
      <c r="I5493" s="1">
        <v>0.99950000000000006</v>
      </c>
    </row>
    <row r="5494" spans="1:9" x14ac:dyDescent="0.25">
      <c r="A5494" t="s">
        <v>198</v>
      </c>
      <c r="B5494" t="s">
        <v>350</v>
      </c>
      <c r="C5494">
        <v>63</v>
      </c>
      <c r="D5494" t="s">
        <v>201</v>
      </c>
      <c r="E5494">
        <v>2633</v>
      </c>
      <c r="I5494" s="1">
        <v>1</v>
      </c>
    </row>
    <row r="5495" spans="1:9" x14ac:dyDescent="0.25">
      <c r="A5495" t="s">
        <v>198</v>
      </c>
      <c r="B5495" t="s">
        <v>348</v>
      </c>
      <c r="C5495">
        <v>62</v>
      </c>
      <c r="D5495" t="s">
        <v>201</v>
      </c>
      <c r="E5495">
        <v>2633</v>
      </c>
      <c r="G5495" s="1">
        <v>4.7999999999999996E-3</v>
      </c>
      <c r="I5495" s="1">
        <v>0.99519999999999997</v>
      </c>
    </row>
    <row r="5496" spans="1:9" x14ac:dyDescent="0.25">
      <c r="A5496" t="s">
        <v>198</v>
      </c>
      <c r="B5496" t="s">
        <v>348</v>
      </c>
      <c r="C5496">
        <v>96</v>
      </c>
      <c r="D5496" t="s">
        <v>202</v>
      </c>
      <c r="E5496">
        <v>2633</v>
      </c>
      <c r="G5496" s="1">
        <v>8.0000000000000002E-3</v>
      </c>
      <c r="H5496" s="1">
        <v>8.0000000000000002E-3</v>
      </c>
      <c r="I5496" s="1">
        <v>0.98399999999999999</v>
      </c>
    </row>
    <row r="5497" spans="1:9" x14ac:dyDescent="0.25">
      <c r="A5497" t="s">
        <v>203</v>
      </c>
      <c r="B5497" t="s">
        <v>349</v>
      </c>
      <c r="C5497">
        <v>171</v>
      </c>
      <c r="D5497" t="s">
        <v>199</v>
      </c>
      <c r="E5497">
        <v>2633</v>
      </c>
      <c r="G5497" s="1">
        <v>3.3999999999999998E-3</v>
      </c>
      <c r="I5497" s="1">
        <v>0.99660000000000004</v>
      </c>
    </row>
    <row r="5498" spans="1:9" x14ac:dyDescent="0.25">
      <c r="A5498" t="s">
        <v>203</v>
      </c>
      <c r="B5498" t="s">
        <v>348</v>
      </c>
      <c r="C5498">
        <v>42</v>
      </c>
      <c r="D5498" t="s">
        <v>199</v>
      </c>
      <c r="E5498">
        <v>2633</v>
      </c>
      <c r="I5498" s="1">
        <v>1</v>
      </c>
    </row>
    <row r="5499" spans="1:9" x14ac:dyDescent="0.25">
      <c r="A5499" t="s">
        <v>203</v>
      </c>
      <c r="B5499" t="s">
        <v>350</v>
      </c>
      <c r="C5499">
        <v>307</v>
      </c>
      <c r="D5499" t="s">
        <v>199</v>
      </c>
      <c r="E5499">
        <v>2633</v>
      </c>
      <c r="F5499" s="1">
        <v>8.9999999999999998E-4</v>
      </c>
      <c r="G5499" s="1">
        <v>1.8E-3</v>
      </c>
      <c r="I5499" s="1">
        <v>0.99729999999999996</v>
      </c>
    </row>
    <row r="5500" spans="1:9" x14ac:dyDescent="0.25">
      <c r="A5500" t="s">
        <v>203</v>
      </c>
      <c r="B5500" t="s">
        <v>348</v>
      </c>
      <c r="C5500">
        <v>300</v>
      </c>
      <c r="D5500" t="s">
        <v>200</v>
      </c>
      <c r="E5500">
        <v>2633</v>
      </c>
      <c r="I5500" s="1">
        <v>1</v>
      </c>
    </row>
    <row r="5501" spans="1:9" x14ac:dyDescent="0.25">
      <c r="A5501" t="s">
        <v>203</v>
      </c>
      <c r="B5501" t="s">
        <v>349</v>
      </c>
      <c r="C5501">
        <v>108</v>
      </c>
      <c r="D5501" t="s">
        <v>200</v>
      </c>
      <c r="E5501">
        <v>2633</v>
      </c>
      <c r="I5501" s="1">
        <v>1</v>
      </c>
    </row>
    <row r="5502" spans="1:9" x14ac:dyDescent="0.25">
      <c r="A5502" t="s">
        <v>203</v>
      </c>
      <c r="B5502" t="s">
        <v>350</v>
      </c>
      <c r="C5502">
        <v>94</v>
      </c>
      <c r="D5502" t="s">
        <v>200</v>
      </c>
      <c r="E5502">
        <v>2633</v>
      </c>
      <c r="I5502" s="1">
        <v>1</v>
      </c>
    </row>
    <row r="5503" spans="1:9" x14ac:dyDescent="0.25">
      <c r="A5503" t="s">
        <v>203</v>
      </c>
      <c r="B5503" t="s">
        <v>348</v>
      </c>
      <c r="C5503">
        <v>62</v>
      </c>
      <c r="D5503" t="s">
        <v>201</v>
      </c>
      <c r="E5503">
        <v>2633</v>
      </c>
      <c r="G5503" s="1">
        <v>6.4999999999999997E-3</v>
      </c>
      <c r="H5503" s="1">
        <v>6.4999999999999997E-3</v>
      </c>
      <c r="I5503" s="1">
        <v>0.98709999999999998</v>
      </c>
    </row>
    <row r="5504" spans="1:9" x14ac:dyDescent="0.25">
      <c r="A5504" t="s">
        <v>203</v>
      </c>
      <c r="B5504" t="s">
        <v>349</v>
      </c>
      <c r="C5504">
        <v>147</v>
      </c>
      <c r="D5504" t="s">
        <v>201</v>
      </c>
      <c r="E5504">
        <v>2633</v>
      </c>
      <c r="I5504" s="1">
        <v>1</v>
      </c>
    </row>
    <row r="5505" spans="1:17" x14ac:dyDescent="0.25">
      <c r="A5505" t="s">
        <v>203</v>
      </c>
      <c r="B5505" t="s">
        <v>350</v>
      </c>
      <c r="C5505">
        <v>105</v>
      </c>
      <c r="D5505" t="s">
        <v>201</v>
      </c>
      <c r="E5505">
        <v>2633</v>
      </c>
      <c r="I5505" s="1">
        <v>1</v>
      </c>
    </row>
    <row r="5506" spans="1:17" x14ac:dyDescent="0.25">
      <c r="A5506" t="s">
        <v>203</v>
      </c>
      <c r="B5506" t="s">
        <v>348</v>
      </c>
      <c r="C5506">
        <v>90</v>
      </c>
      <c r="D5506" t="s">
        <v>202</v>
      </c>
      <c r="E5506">
        <v>2633</v>
      </c>
      <c r="G5506" s="1">
        <v>4.8999999999999998E-3</v>
      </c>
      <c r="I5506" s="1">
        <v>0.99509999999999998</v>
      </c>
    </row>
    <row r="5507" spans="1:17" x14ac:dyDescent="0.25">
      <c r="A5507" t="s">
        <v>204</v>
      </c>
      <c r="B5507" t="s">
        <v>204</v>
      </c>
      <c r="C5507">
        <v>2633</v>
      </c>
      <c r="D5507" t="s">
        <v>204</v>
      </c>
      <c r="E5507">
        <v>2633</v>
      </c>
      <c r="F5507" s="1">
        <v>1E-4</v>
      </c>
      <c r="G5507" s="1">
        <v>2.3999999999999998E-3</v>
      </c>
      <c r="H5507" s="1">
        <v>8.0000000000000004E-4</v>
      </c>
      <c r="I5507" s="1">
        <v>0.99670000000000003</v>
      </c>
    </row>
    <row r="5509" spans="1:17" x14ac:dyDescent="0.25">
      <c r="A5509" t="s">
        <v>1099</v>
      </c>
    </row>
    <row r="5510" spans="1:17" x14ac:dyDescent="0.25">
      <c r="A5510" t="s">
        <v>190</v>
      </c>
      <c r="B5510" t="s">
        <v>195</v>
      </c>
      <c r="C5510" t="s">
        <v>189</v>
      </c>
      <c r="D5510" t="s">
        <v>196</v>
      </c>
      <c r="E5510" t="s">
        <v>1100</v>
      </c>
      <c r="F5510" t="s">
        <v>1101</v>
      </c>
      <c r="G5510" t="s">
        <v>220</v>
      </c>
      <c r="H5510" t="s">
        <v>1102</v>
      </c>
      <c r="I5510" t="s">
        <v>1103</v>
      </c>
      <c r="J5510" t="s">
        <v>1104</v>
      </c>
      <c r="K5510" t="s">
        <v>1105</v>
      </c>
      <c r="L5510" t="s">
        <v>1106</v>
      </c>
      <c r="M5510" t="s">
        <v>1107</v>
      </c>
      <c r="N5510" t="s">
        <v>1108</v>
      </c>
      <c r="O5510" t="s">
        <v>1109</v>
      </c>
      <c r="P5510" t="s">
        <v>1110</v>
      </c>
      <c r="Q5510" t="s">
        <v>215</v>
      </c>
    </row>
    <row r="5511" spans="1:17" x14ac:dyDescent="0.25">
      <c r="A5511" t="s">
        <v>198</v>
      </c>
      <c r="B5511">
        <v>82</v>
      </c>
      <c r="C5511" t="s">
        <v>197</v>
      </c>
      <c r="D5511">
        <v>2633</v>
      </c>
      <c r="E5511" s="1">
        <v>1.38E-2</v>
      </c>
      <c r="G5511" s="1">
        <v>2.0799999999999999E-2</v>
      </c>
      <c r="K5511" s="1">
        <v>0.54420000000000002</v>
      </c>
      <c r="L5511" s="1">
        <v>0.19670000000000001</v>
      </c>
      <c r="M5511" s="1">
        <v>3.2300000000000002E-2</v>
      </c>
      <c r="O5511" s="1">
        <v>0.17849999999999999</v>
      </c>
      <c r="P5511" s="1">
        <v>1.38E-2</v>
      </c>
    </row>
    <row r="5512" spans="1:17" x14ac:dyDescent="0.25">
      <c r="A5512" t="s">
        <v>198</v>
      </c>
      <c r="B5512">
        <v>368</v>
      </c>
      <c r="C5512" t="s">
        <v>199</v>
      </c>
      <c r="D5512">
        <v>2633</v>
      </c>
      <c r="G5512" s="1">
        <v>1.6000000000000001E-3</v>
      </c>
      <c r="K5512" s="1">
        <v>0.71799999999999997</v>
      </c>
      <c r="L5512" s="1">
        <v>0.126</v>
      </c>
      <c r="M5512" s="1">
        <v>7.1000000000000004E-3</v>
      </c>
      <c r="N5512" s="1">
        <v>2.5999999999999999E-3</v>
      </c>
      <c r="O5512" s="1">
        <v>0.13700000000000001</v>
      </c>
      <c r="P5512" s="1">
        <v>7.6E-3</v>
      </c>
    </row>
    <row r="5513" spans="1:17" x14ac:dyDescent="0.25">
      <c r="A5513" t="s">
        <v>198</v>
      </c>
      <c r="B5513">
        <v>387</v>
      </c>
      <c r="C5513" t="s">
        <v>200</v>
      </c>
      <c r="D5513">
        <v>2633</v>
      </c>
      <c r="E5513" s="1">
        <v>6.3E-3</v>
      </c>
      <c r="F5513" s="1">
        <v>8.0000000000000004E-4</v>
      </c>
      <c r="G5513" s="1">
        <v>1E-4</v>
      </c>
      <c r="K5513" s="1">
        <v>0.78169999999999995</v>
      </c>
      <c r="L5513" s="1">
        <v>7.6799999999999993E-2</v>
      </c>
      <c r="M5513" s="1">
        <v>3.44E-2</v>
      </c>
      <c r="O5513" s="1">
        <v>9.3899999999999997E-2</v>
      </c>
      <c r="P5513" s="1">
        <v>6.0000000000000001E-3</v>
      </c>
    </row>
    <row r="5514" spans="1:17" x14ac:dyDescent="0.25">
      <c r="A5514" t="s">
        <v>198</v>
      </c>
      <c r="B5514">
        <v>256</v>
      </c>
      <c r="C5514" t="s">
        <v>201</v>
      </c>
      <c r="D5514">
        <v>2633</v>
      </c>
      <c r="F5514" s="1">
        <v>3.5000000000000001E-3</v>
      </c>
      <c r="G5514" s="1">
        <v>3.8E-3</v>
      </c>
      <c r="K5514" s="1">
        <v>0.73199999999999998</v>
      </c>
      <c r="L5514" s="1">
        <v>0.1111</v>
      </c>
      <c r="M5514" s="1">
        <v>2.1600000000000001E-2</v>
      </c>
      <c r="O5514" s="1">
        <v>0.1157</v>
      </c>
      <c r="P5514" s="1">
        <v>1.21E-2</v>
      </c>
    </row>
    <row r="5515" spans="1:17" x14ac:dyDescent="0.25">
      <c r="A5515" t="s">
        <v>198</v>
      </c>
      <c r="B5515">
        <v>96</v>
      </c>
      <c r="C5515" t="s">
        <v>202</v>
      </c>
      <c r="D5515">
        <v>2633</v>
      </c>
      <c r="E5515" s="1">
        <v>2.5600000000000001E-2</v>
      </c>
      <c r="J5515" s="1">
        <v>2.52E-2</v>
      </c>
      <c r="K5515" s="1">
        <v>0.76070000000000004</v>
      </c>
      <c r="L5515" s="1">
        <v>5.21E-2</v>
      </c>
      <c r="M5515" s="1">
        <v>6.4399999999999999E-2</v>
      </c>
      <c r="O5515" s="1">
        <v>4.7800000000000002E-2</v>
      </c>
      <c r="P5515" s="1">
        <v>2.4199999999999999E-2</v>
      </c>
    </row>
    <row r="5516" spans="1:17" x14ac:dyDescent="0.25">
      <c r="A5516" t="s">
        <v>203</v>
      </c>
      <c r="B5516">
        <v>530</v>
      </c>
      <c r="C5516" t="s">
        <v>199</v>
      </c>
      <c r="D5516">
        <v>2633</v>
      </c>
      <c r="G5516" s="1">
        <v>5.9999999999999995E-4</v>
      </c>
      <c r="I5516" s="1">
        <v>1E-3</v>
      </c>
      <c r="K5516" s="1">
        <v>0.71940000000000004</v>
      </c>
      <c r="L5516" s="1">
        <v>0.18540000000000001</v>
      </c>
      <c r="M5516" s="1">
        <v>2.1999999999999999E-2</v>
      </c>
      <c r="N5516" s="1">
        <v>5.9999999999999995E-4</v>
      </c>
      <c r="O5516" s="1">
        <v>6.5699999999999995E-2</v>
      </c>
      <c r="P5516" s="1">
        <v>4.7999999999999996E-3</v>
      </c>
      <c r="Q5516" s="1">
        <v>5.9999999999999995E-4</v>
      </c>
    </row>
    <row r="5517" spans="1:17" x14ac:dyDescent="0.25">
      <c r="A5517" t="s">
        <v>203</v>
      </c>
      <c r="B5517">
        <v>503</v>
      </c>
      <c r="C5517" t="s">
        <v>200</v>
      </c>
      <c r="D5517">
        <v>2633</v>
      </c>
      <c r="F5517" s="1">
        <v>3.5999999999999999E-3</v>
      </c>
      <c r="G5517" s="1">
        <v>2.8E-3</v>
      </c>
      <c r="H5517" s="1">
        <v>1.9E-3</v>
      </c>
      <c r="K5517" s="1">
        <v>0.77529999999999999</v>
      </c>
      <c r="L5517" s="1">
        <v>0.12470000000000001</v>
      </c>
      <c r="M5517" s="1">
        <v>5.8999999999999997E-2</v>
      </c>
      <c r="O5517" s="1">
        <v>3.1699999999999999E-2</v>
      </c>
      <c r="P5517" s="1">
        <v>1E-3</v>
      </c>
    </row>
    <row r="5518" spans="1:17" x14ac:dyDescent="0.25">
      <c r="A5518" t="s">
        <v>203</v>
      </c>
      <c r="B5518">
        <v>321</v>
      </c>
      <c r="C5518" t="s">
        <v>201</v>
      </c>
      <c r="D5518">
        <v>2633</v>
      </c>
      <c r="E5518" s="1">
        <v>5.9999999999999995E-4</v>
      </c>
      <c r="F5518" s="1">
        <v>8.0000000000000004E-4</v>
      </c>
      <c r="I5518" s="1">
        <v>7.0000000000000001E-3</v>
      </c>
      <c r="K5518" s="1">
        <v>0.6411</v>
      </c>
      <c r="L5518" s="1">
        <v>0.23669999999999999</v>
      </c>
      <c r="M5518" s="1">
        <v>2.0400000000000001E-2</v>
      </c>
      <c r="O5518" s="1">
        <v>8.8499999999999995E-2</v>
      </c>
      <c r="P5518" s="1">
        <v>3.0999999999999999E-3</v>
      </c>
      <c r="Q5518" s="1">
        <v>1.9E-3</v>
      </c>
    </row>
    <row r="5519" spans="1:17" x14ac:dyDescent="0.25">
      <c r="A5519" t="s">
        <v>203</v>
      </c>
      <c r="B5519">
        <v>90</v>
      </c>
      <c r="C5519" t="s">
        <v>202</v>
      </c>
      <c r="D5519">
        <v>2633</v>
      </c>
      <c r="I5519" s="1">
        <v>5.8999999999999999E-3</v>
      </c>
      <c r="J5519" s="1">
        <v>1.0200000000000001E-2</v>
      </c>
      <c r="K5519" s="1">
        <v>0.73560000000000003</v>
      </c>
      <c r="L5519" s="1">
        <v>4.8000000000000001E-2</v>
      </c>
      <c r="M5519" s="1">
        <v>0.122</v>
      </c>
      <c r="O5519" s="1">
        <v>7.3200000000000001E-2</v>
      </c>
      <c r="P5519" s="1">
        <v>4.8999999999999998E-3</v>
      </c>
    </row>
    <row r="5520" spans="1:17" x14ac:dyDescent="0.25">
      <c r="A5520" t="s">
        <v>204</v>
      </c>
      <c r="B5520">
        <v>2633</v>
      </c>
      <c r="C5520" t="s">
        <v>204</v>
      </c>
      <c r="D5520">
        <v>2633</v>
      </c>
      <c r="E5520" s="1">
        <v>4.1000000000000003E-3</v>
      </c>
      <c r="F5520" s="1">
        <v>1.4E-3</v>
      </c>
      <c r="G5520" s="1">
        <v>2.7000000000000001E-3</v>
      </c>
      <c r="H5520" s="1">
        <v>5.9999999999999995E-4</v>
      </c>
      <c r="I5520" s="1">
        <v>8.0000000000000004E-4</v>
      </c>
      <c r="J5520" s="1">
        <v>2.8999999999999998E-3</v>
      </c>
      <c r="K5520" s="1">
        <v>0.7339</v>
      </c>
      <c r="L5520" s="1">
        <v>0.12620000000000001</v>
      </c>
      <c r="M5520" s="1">
        <v>4.2700000000000002E-2</v>
      </c>
      <c r="N5520" s="1">
        <v>4.0000000000000002E-4</v>
      </c>
      <c r="O5520" s="1">
        <v>7.7399999999999997E-2</v>
      </c>
      <c r="P5520" s="1">
        <v>6.7999999999999996E-3</v>
      </c>
      <c r="Q5520" s="1">
        <v>2.0000000000000001E-4</v>
      </c>
    </row>
    <row r="5522" spans="1:18" x14ac:dyDescent="0.25">
      <c r="A5522" t="s">
        <v>1111</v>
      </c>
    </row>
    <row r="5523" spans="1:18" x14ac:dyDescent="0.25">
      <c r="A5523" t="s">
        <v>190</v>
      </c>
      <c r="B5523" t="s">
        <v>206</v>
      </c>
      <c r="C5523" t="s">
        <v>195</v>
      </c>
      <c r="D5523" t="s">
        <v>189</v>
      </c>
      <c r="E5523" t="s">
        <v>196</v>
      </c>
      <c r="F5523" t="s">
        <v>1100</v>
      </c>
      <c r="G5523" t="s">
        <v>1101</v>
      </c>
      <c r="H5523" t="s">
        <v>220</v>
      </c>
      <c r="I5523" t="s">
        <v>1102</v>
      </c>
      <c r="J5523" t="s">
        <v>1103</v>
      </c>
      <c r="K5523" t="s">
        <v>1104</v>
      </c>
      <c r="L5523" t="s">
        <v>1105</v>
      </c>
      <c r="M5523" t="s">
        <v>1106</v>
      </c>
      <c r="N5523" t="s">
        <v>1107</v>
      </c>
      <c r="O5523" t="s">
        <v>1108</v>
      </c>
      <c r="P5523" t="s">
        <v>1109</v>
      </c>
      <c r="Q5523" t="s">
        <v>1110</v>
      </c>
      <c r="R5523" t="s">
        <v>215</v>
      </c>
    </row>
    <row r="5524" spans="1:18" x14ac:dyDescent="0.25">
      <c r="A5524" t="s">
        <v>198</v>
      </c>
      <c r="B5524" t="s">
        <v>228</v>
      </c>
      <c r="C5524">
        <v>33</v>
      </c>
      <c r="D5524" t="s">
        <v>197</v>
      </c>
      <c r="E5524">
        <v>2633</v>
      </c>
      <c r="F5524" s="1">
        <v>3.1800000000000002E-2</v>
      </c>
      <c r="H5524" s="1">
        <v>4.82E-2</v>
      </c>
      <c r="L5524" s="1">
        <v>0.19950000000000001</v>
      </c>
      <c r="M5524" s="1">
        <v>0.33350000000000002</v>
      </c>
      <c r="N5524" s="1">
        <v>2.5600000000000001E-2</v>
      </c>
      <c r="P5524" s="1">
        <v>0.3296</v>
      </c>
      <c r="Q5524" s="1">
        <v>3.1800000000000002E-2</v>
      </c>
    </row>
    <row r="5525" spans="1:18" x14ac:dyDescent="0.25">
      <c r="A5525" t="s">
        <v>198</v>
      </c>
      <c r="B5525" t="s">
        <v>229</v>
      </c>
      <c r="C5525">
        <v>49</v>
      </c>
      <c r="D5525" t="s">
        <v>197</v>
      </c>
      <c r="E5525">
        <v>2633</v>
      </c>
      <c r="L5525" s="1">
        <v>0.80620000000000003</v>
      </c>
      <c r="M5525" s="1">
        <v>9.2700000000000005E-2</v>
      </c>
      <c r="N5525" s="1">
        <v>3.7400000000000003E-2</v>
      </c>
      <c r="P5525" s="1">
        <v>6.3700000000000007E-2</v>
      </c>
    </row>
    <row r="5526" spans="1:18" x14ac:dyDescent="0.25">
      <c r="A5526" t="s">
        <v>198</v>
      </c>
      <c r="B5526" t="s">
        <v>228</v>
      </c>
      <c r="C5526">
        <v>145</v>
      </c>
      <c r="D5526" t="s">
        <v>199</v>
      </c>
      <c r="E5526">
        <v>2633</v>
      </c>
      <c r="H5526" s="1">
        <v>1.2999999999999999E-3</v>
      </c>
      <c r="L5526" s="1">
        <v>0.32219999999999999</v>
      </c>
      <c r="M5526" s="1">
        <v>0.2505</v>
      </c>
      <c r="O5526" s="1">
        <v>8.9999999999999993E-3</v>
      </c>
      <c r="P5526" s="1">
        <v>0.39660000000000001</v>
      </c>
      <c r="Q5526" s="1">
        <v>2.0400000000000001E-2</v>
      </c>
    </row>
    <row r="5527" spans="1:18" x14ac:dyDescent="0.25">
      <c r="A5527" t="s">
        <v>198</v>
      </c>
      <c r="B5527" t="s">
        <v>229</v>
      </c>
      <c r="C5527">
        <v>213</v>
      </c>
      <c r="D5527" t="s">
        <v>199</v>
      </c>
      <c r="E5527">
        <v>2633</v>
      </c>
      <c r="H5527" s="1">
        <v>1.8E-3</v>
      </c>
      <c r="L5527" s="1">
        <v>0.85960000000000003</v>
      </c>
      <c r="M5527" s="1">
        <v>7.9500000000000001E-2</v>
      </c>
      <c r="N5527" s="1">
        <v>9.5999999999999992E-3</v>
      </c>
      <c r="O5527" s="1">
        <v>4.0000000000000002E-4</v>
      </c>
      <c r="P5527" s="1">
        <v>4.58E-2</v>
      </c>
      <c r="Q5527" s="1">
        <v>3.3E-3</v>
      </c>
    </row>
    <row r="5528" spans="1:18" x14ac:dyDescent="0.25">
      <c r="A5528" t="s">
        <v>198</v>
      </c>
      <c r="B5528" t="s">
        <v>229</v>
      </c>
      <c r="C5528">
        <v>270</v>
      </c>
      <c r="D5528" t="s">
        <v>200</v>
      </c>
      <c r="E5528">
        <v>2633</v>
      </c>
      <c r="F5528" s="1">
        <v>2.3E-3</v>
      </c>
      <c r="G5528" s="1">
        <v>1E-4</v>
      </c>
      <c r="H5528" s="1">
        <v>1E-4</v>
      </c>
      <c r="L5528" s="1">
        <v>0.90820000000000001</v>
      </c>
      <c r="M5528" s="1">
        <v>5.4600000000000003E-2</v>
      </c>
      <c r="N5528" s="1">
        <v>4.8999999999999998E-3</v>
      </c>
      <c r="P5528" s="1">
        <v>2.7199999999999998E-2</v>
      </c>
      <c r="Q5528" s="1">
        <v>2.5000000000000001E-3</v>
      </c>
    </row>
    <row r="5529" spans="1:18" x14ac:dyDescent="0.25">
      <c r="A5529" t="s">
        <v>198</v>
      </c>
      <c r="B5529" t="s">
        <v>228</v>
      </c>
      <c r="C5529">
        <v>112</v>
      </c>
      <c r="D5529" t="s">
        <v>200</v>
      </c>
      <c r="E5529">
        <v>2633</v>
      </c>
      <c r="F5529" s="1">
        <v>1.9599999999999999E-2</v>
      </c>
      <c r="G5529" s="1">
        <v>3.0000000000000001E-3</v>
      </c>
      <c r="L5529" s="1">
        <v>0.3599</v>
      </c>
      <c r="M5529" s="1">
        <v>0.15179999999999999</v>
      </c>
      <c r="N5529" s="1">
        <v>0.13250000000000001</v>
      </c>
      <c r="P5529" s="1">
        <v>0.31559999999999999</v>
      </c>
      <c r="Q5529" s="1">
        <v>1.77E-2</v>
      </c>
    </row>
    <row r="5530" spans="1:18" x14ac:dyDescent="0.25">
      <c r="A5530" t="s">
        <v>198</v>
      </c>
      <c r="B5530" t="s">
        <v>228</v>
      </c>
      <c r="C5530">
        <v>95</v>
      </c>
      <c r="D5530" t="s">
        <v>201</v>
      </c>
      <c r="E5530">
        <v>2633</v>
      </c>
      <c r="G5530" s="1">
        <v>1.66E-2</v>
      </c>
      <c r="H5530" s="1">
        <v>1.78E-2</v>
      </c>
      <c r="L5530" s="1">
        <v>0.34989999999999999</v>
      </c>
      <c r="M5530" s="1">
        <v>0.2268</v>
      </c>
      <c r="N5530" s="1">
        <v>1.8499999999999999E-2</v>
      </c>
      <c r="P5530" s="1">
        <v>0.3165</v>
      </c>
      <c r="Q5530" s="1">
        <v>5.3900000000000003E-2</v>
      </c>
    </row>
    <row r="5531" spans="1:18" x14ac:dyDescent="0.25">
      <c r="A5531" t="s">
        <v>198</v>
      </c>
      <c r="B5531" t="s">
        <v>229</v>
      </c>
      <c r="C5531">
        <v>155</v>
      </c>
      <c r="D5531" t="s">
        <v>201</v>
      </c>
      <c r="E5531">
        <v>2633</v>
      </c>
      <c r="L5531" s="1">
        <v>0.83479999999999999</v>
      </c>
      <c r="M5531" s="1">
        <v>8.0500000000000002E-2</v>
      </c>
      <c r="N5531" s="1">
        <v>2.2800000000000001E-2</v>
      </c>
      <c r="P5531" s="1">
        <v>6.0999999999999999E-2</v>
      </c>
      <c r="Q5531" s="1">
        <v>8.9999999999999998E-4</v>
      </c>
    </row>
    <row r="5532" spans="1:18" s="29" customFormat="1" x14ac:dyDescent="0.25">
      <c r="A5532" s="29" t="s">
        <v>198</v>
      </c>
      <c r="B5532" s="29" t="s">
        <v>228</v>
      </c>
      <c r="C5532" s="29">
        <v>28</v>
      </c>
      <c r="D5532" s="29" t="s">
        <v>202</v>
      </c>
      <c r="E5532" s="29">
        <v>2633</v>
      </c>
      <c r="F5532" s="30">
        <v>0.1085</v>
      </c>
      <c r="K5532" s="30">
        <v>0.1067</v>
      </c>
      <c r="L5532" s="30">
        <v>0.29909999999999998</v>
      </c>
      <c r="M5532" s="30">
        <v>2.1499999999999998E-2</v>
      </c>
      <c r="N5532" s="30">
        <v>0.2384</v>
      </c>
      <c r="P5532" s="30">
        <v>0.1237</v>
      </c>
      <c r="Q5532" s="30">
        <v>0.1022</v>
      </c>
    </row>
    <row r="5533" spans="1:18" x14ac:dyDescent="0.25">
      <c r="A5533" t="s">
        <v>198</v>
      </c>
      <c r="B5533" t="s">
        <v>229</v>
      </c>
      <c r="C5533">
        <v>68</v>
      </c>
      <c r="D5533" t="s">
        <v>202</v>
      </c>
      <c r="E5533">
        <v>2633</v>
      </c>
      <c r="L5533" s="1">
        <v>0.90359999999999996</v>
      </c>
      <c r="M5533" s="1">
        <v>6.1600000000000002E-2</v>
      </c>
      <c r="N5533" s="1">
        <v>1.0500000000000001E-2</v>
      </c>
      <c r="P5533" s="1">
        <v>2.4299999999999999E-2</v>
      </c>
    </row>
    <row r="5534" spans="1:18" x14ac:dyDescent="0.25">
      <c r="A5534" t="s">
        <v>203</v>
      </c>
      <c r="B5534" t="s">
        <v>229</v>
      </c>
      <c r="C5534">
        <v>370</v>
      </c>
      <c r="D5534" t="s">
        <v>199</v>
      </c>
      <c r="E5534">
        <v>2633</v>
      </c>
      <c r="H5534" s="1">
        <v>5.9999999999999995E-4</v>
      </c>
      <c r="J5534" s="1">
        <v>5.9999999999999995E-4</v>
      </c>
      <c r="L5534" s="1">
        <v>0.77390000000000003</v>
      </c>
      <c r="M5534" s="1">
        <v>0.17610000000000001</v>
      </c>
      <c r="N5534" s="1">
        <v>2.2599999999999999E-2</v>
      </c>
      <c r="P5534" s="1">
        <v>2.35E-2</v>
      </c>
      <c r="Q5534" s="1">
        <v>2.0999999999999999E-3</v>
      </c>
      <c r="R5534" s="1">
        <v>5.9999999999999995E-4</v>
      </c>
    </row>
    <row r="5535" spans="1:18" x14ac:dyDescent="0.25">
      <c r="A5535" t="s">
        <v>203</v>
      </c>
      <c r="B5535" t="s">
        <v>228</v>
      </c>
      <c r="C5535">
        <v>150</v>
      </c>
      <c r="D5535" t="s">
        <v>199</v>
      </c>
      <c r="E5535">
        <v>2633</v>
      </c>
      <c r="H5535" s="1">
        <v>8.9999999999999998E-4</v>
      </c>
      <c r="J5535" s="1">
        <v>4.0000000000000001E-3</v>
      </c>
      <c r="L5535" s="1">
        <v>0.26679999999999998</v>
      </c>
      <c r="M5535" s="1">
        <v>0.26579999999999998</v>
      </c>
      <c r="N5535" s="1">
        <v>1.7999999999999999E-2</v>
      </c>
      <c r="O5535" s="1">
        <v>5.4000000000000003E-3</v>
      </c>
      <c r="P5535" s="1">
        <v>0.42159999999999997</v>
      </c>
      <c r="Q5535" s="1">
        <v>1.7500000000000002E-2</v>
      </c>
    </row>
    <row r="5536" spans="1:18" x14ac:dyDescent="0.25">
      <c r="A5536" t="s">
        <v>203</v>
      </c>
      <c r="B5536" t="s">
        <v>229</v>
      </c>
      <c r="C5536">
        <v>347</v>
      </c>
      <c r="D5536" t="s">
        <v>200</v>
      </c>
      <c r="E5536">
        <v>2633</v>
      </c>
      <c r="G5536" s="1">
        <v>4.4999999999999997E-3</v>
      </c>
      <c r="H5536" s="1">
        <v>3.5000000000000001E-3</v>
      </c>
      <c r="L5536" s="1">
        <v>0.87939999999999996</v>
      </c>
      <c r="M5536" s="1">
        <v>8.4400000000000003E-2</v>
      </c>
      <c r="N5536" s="1">
        <v>9.1000000000000004E-3</v>
      </c>
      <c r="P5536" s="1">
        <v>1.84E-2</v>
      </c>
      <c r="Q5536" s="1">
        <v>8.0000000000000004E-4</v>
      </c>
    </row>
    <row r="5537" spans="1:18" x14ac:dyDescent="0.25">
      <c r="A5537" t="s">
        <v>203</v>
      </c>
      <c r="B5537" t="s">
        <v>228</v>
      </c>
      <c r="C5537">
        <v>155</v>
      </c>
      <c r="D5537" t="s">
        <v>200</v>
      </c>
      <c r="E5537">
        <v>2633</v>
      </c>
      <c r="I5537" s="1">
        <v>9.5999999999999992E-3</v>
      </c>
      <c r="L5537" s="1">
        <v>0.34100000000000003</v>
      </c>
      <c r="M5537" s="1">
        <v>0.29289999999999999</v>
      </c>
      <c r="N5537" s="1">
        <v>0.26700000000000002</v>
      </c>
      <c r="P5537" s="1">
        <v>8.7400000000000005E-2</v>
      </c>
      <c r="Q5537" s="1">
        <v>2.0999999999999999E-3</v>
      </c>
    </row>
    <row r="5538" spans="1:18" x14ac:dyDescent="0.25">
      <c r="A5538" t="s">
        <v>203</v>
      </c>
      <c r="B5538" t="s">
        <v>229</v>
      </c>
      <c r="C5538">
        <v>137</v>
      </c>
      <c r="D5538" t="s">
        <v>201</v>
      </c>
      <c r="E5538">
        <v>2633</v>
      </c>
      <c r="F5538" s="1">
        <v>8.0000000000000004E-4</v>
      </c>
      <c r="J5538" s="1">
        <v>9.1999999999999998E-3</v>
      </c>
      <c r="L5538" s="1">
        <v>0.76549999999999996</v>
      </c>
      <c r="M5538" s="1">
        <v>0.1797</v>
      </c>
      <c r="N5538" s="1">
        <v>2.6100000000000002E-2</v>
      </c>
      <c r="P5538" s="1">
        <v>1.6299999999999999E-2</v>
      </c>
      <c r="R5538" s="1">
        <v>2.5000000000000001E-3</v>
      </c>
    </row>
    <row r="5539" spans="1:18" x14ac:dyDescent="0.25">
      <c r="A5539" t="s">
        <v>203</v>
      </c>
      <c r="B5539" t="s">
        <v>228</v>
      </c>
      <c r="C5539">
        <v>177</v>
      </c>
      <c r="D5539" t="s">
        <v>201</v>
      </c>
      <c r="E5539">
        <v>2633</v>
      </c>
      <c r="G5539" s="1">
        <v>3.2000000000000002E-3</v>
      </c>
      <c r="L5539" s="1">
        <v>0.2455</v>
      </c>
      <c r="M5539" s="1">
        <v>0.41770000000000002</v>
      </c>
      <c r="N5539" s="1">
        <v>2.5000000000000001E-3</v>
      </c>
      <c r="P5539" s="1">
        <v>0.31790000000000002</v>
      </c>
      <c r="Q5539" s="1">
        <v>1.3100000000000001E-2</v>
      </c>
    </row>
    <row r="5540" spans="1:18" x14ac:dyDescent="0.25">
      <c r="A5540" t="s">
        <v>203</v>
      </c>
      <c r="B5540" t="s">
        <v>228</v>
      </c>
      <c r="C5540">
        <v>34</v>
      </c>
      <c r="D5540" t="s">
        <v>202</v>
      </c>
      <c r="E5540">
        <v>2633</v>
      </c>
      <c r="J5540" s="1">
        <v>2.0899999999999998E-2</v>
      </c>
      <c r="K5540" s="1">
        <v>3.6200000000000003E-2</v>
      </c>
      <c r="L5540" s="1">
        <v>0.27</v>
      </c>
      <c r="M5540" s="1">
        <v>0.12230000000000001</v>
      </c>
      <c r="N5540" s="1">
        <v>0.32779999999999998</v>
      </c>
      <c r="P5540" s="1">
        <v>0.2228</v>
      </c>
    </row>
    <row r="5541" spans="1:18" x14ac:dyDescent="0.25">
      <c r="A5541" t="s">
        <v>203</v>
      </c>
      <c r="B5541" t="s">
        <v>229</v>
      </c>
      <c r="C5541">
        <v>56</v>
      </c>
      <c r="D5541" t="s">
        <v>202</v>
      </c>
      <c r="E5541">
        <v>2633</v>
      </c>
      <c r="L5541" s="1">
        <v>0.91910000000000003</v>
      </c>
      <c r="M5541" s="1">
        <v>1.8800000000000001E-2</v>
      </c>
      <c r="N5541" s="1">
        <v>4.1000000000000002E-2</v>
      </c>
      <c r="P5541" s="1">
        <v>1.43E-2</v>
      </c>
      <c r="Q5541" s="1">
        <v>6.8999999999999999E-3</v>
      </c>
    </row>
    <row r="5542" spans="1:18" x14ac:dyDescent="0.25">
      <c r="A5542" t="s">
        <v>204</v>
      </c>
      <c r="B5542" t="s">
        <v>204</v>
      </c>
      <c r="C5542">
        <v>2633</v>
      </c>
      <c r="D5542" t="s">
        <v>204</v>
      </c>
      <c r="E5542">
        <v>2633</v>
      </c>
      <c r="F5542" s="1">
        <v>4.1000000000000003E-3</v>
      </c>
      <c r="G5542" s="1">
        <v>1.4E-3</v>
      </c>
      <c r="H5542" s="1">
        <v>2.7000000000000001E-3</v>
      </c>
      <c r="I5542" s="1">
        <v>5.9999999999999995E-4</v>
      </c>
      <c r="J5542" s="1">
        <v>8.0000000000000004E-4</v>
      </c>
      <c r="K5542" s="1">
        <v>2.8999999999999998E-3</v>
      </c>
      <c r="L5542" s="1">
        <v>0.7339</v>
      </c>
      <c r="M5542" s="1">
        <v>0.12620000000000001</v>
      </c>
      <c r="N5542" s="1">
        <v>4.2700000000000002E-2</v>
      </c>
      <c r="O5542" s="1">
        <v>4.0000000000000002E-4</v>
      </c>
      <c r="P5542" s="1">
        <v>7.7399999999999997E-2</v>
      </c>
      <c r="Q5542" s="1">
        <v>6.7999999999999996E-3</v>
      </c>
      <c r="R5542" s="1">
        <v>2.0000000000000001E-4</v>
      </c>
    </row>
    <row r="5544" spans="1:18" x14ac:dyDescent="0.25">
      <c r="A5544" t="s">
        <v>1112</v>
      </c>
    </row>
    <row r="5545" spans="1:18" x14ac:dyDescent="0.25">
      <c r="A5545" t="s">
        <v>190</v>
      </c>
      <c r="B5545" t="s">
        <v>206</v>
      </c>
      <c r="C5545" t="s">
        <v>195</v>
      </c>
      <c r="D5545" t="s">
        <v>189</v>
      </c>
      <c r="E5545" t="s">
        <v>196</v>
      </c>
      <c r="F5545" t="s">
        <v>1100</v>
      </c>
      <c r="G5545" t="s">
        <v>1101</v>
      </c>
      <c r="H5545" t="s">
        <v>220</v>
      </c>
      <c r="I5545" t="s">
        <v>1102</v>
      </c>
      <c r="J5545" t="s">
        <v>1103</v>
      </c>
      <c r="K5545" t="s">
        <v>1104</v>
      </c>
      <c r="L5545" t="s">
        <v>1105</v>
      </c>
      <c r="M5545" t="s">
        <v>1106</v>
      </c>
      <c r="N5545" t="s">
        <v>1107</v>
      </c>
      <c r="O5545" t="s">
        <v>1108</v>
      </c>
      <c r="P5545" t="s">
        <v>1109</v>
      </c>
      <c r="Q5545" t="s">
        <v>1110</v>
      </c>
      <c r="R5545" t="s">
        <v>215</v>
      </c>
    </row>
    <row r="5546" spans="1:18" x14ac:dyDescent="0.25">
      <c r="A5546" t="s">
        <v>198</v>
      </c>
      <c r="B5546" t="s">
        <v>348</v>
      </c>
      <c r="C5546">
        <v>79</v>
      </c>
      <c r="D5546" t="s">
        <v>197</v>
      </c>
      <c r="E5546">
        <v>2633</v>
      </c>
      <c r="F5546" s="1">
        <v>1.4200000000000001E-2</v>
      </c>
      <c r="H5546" s="1">
        <v>2.1499999999999998E-2</v>
      </c>
      <c r="L5546" s="1">
        <v>0.56279999999999997</v>
      </c>
      <c r="M5546" s="1">
        <v>0.18060000000000001</v>
      </c>
      <c r="N5546" s="1">
        <v>3.3399999999999999E-2</v>
      </c>
      <c r="P5546" s="1">
        <v>0.17319999999999999</v>
      </c>
      <c r="Q5546" s="1">
        <v>1.4200000000000001E-2</v>
      </c>
    </row>
    <row r="5547" spans="1:18" s="29" customFormat="1" x14ac:dyDescent="0.25">
      <c r="A5547" s="29" t="s">
        <v>198</v>
      </c>
      <c r="B5547" s="29" t="s">
        <v>349</v>
      </c>
      <c r="C5547" s="29">
        <v>3</v>
      </c>
      <c r="D5547" s="29" t="s">
        <v>197</v>
      </c>
      <c r="E5547" s="29">
        <v>2633</v>
      </c>
      <c r="M5547" s="30">
        <v>0.66669999999999996</v>
      </c>
      <c r="P5547" s="30">
        <v>0.33329999999999999</v>
      </c>
    </row>
    <row r="5548" spans="1:18" x14ac:dyDescent="0.25">
      <c r="A5548" t="s">
        <v>198</v>
      </c>
      <c r="B5548" t="s">
        <v>348</v>
      </c>
      <c r="C5548">
        <v>54</v>
      </c>
      <c r="D5548" t="s">
        <v>199</v>
      </c>
      <c r="E5548">
        <v>2633</v>
      </c>
      <c r="L5548" s="1">
        <v>0.496</v>
      </c>
      <c r="M5548" s="1">
        <v>0.29110000000000003</v>
      </c>
      <c r="P5548" s="1">
        <v>0.21060000000000001</v>
      </c>
      <c r="Q5548" s="1">
        <v>2.3E-3</v>
      </c>
    </row>
    <row r="5549" spans="1:18" x14ac:dyDescent="0.25">
      <c r="A5549" t="s">
        <v>198</v>
      </c>
      <c r="B5549" t="s">
        <v>349</v>
      </c>
      <c r="C5549">
        <v>111</v>
      </c>
      <c r="D5549" t="s">
        <v>199</v>
      </c>
      <c r="E5549">
        <v>2633</v>
      </c>
      <c r="H5549" s="1">
        <v>2.7000000000000001E-3</v>
      </c>
      <c r="L5549" s="1">
        <v>0.72340000000000004</v>
      </c>
      <c r="M5549" s="1">
        <v>0.1099</v>
      </c>
      <c r="N5549" s="1">
        <v>1.41E-2</v>
      </c>
      <c r="P5549" s="1">
        <v>0.14149999999999999</v>
      </c>
      <c r="Q5549" s="1">
        <v>8.3000000000000001E-3</v>
      </c>
    </row>
    <row r="5550" spans="1:18" x14ac:dyDescent="0.25">
      <c r="A5550" t="s">
        <v>198</v>
      </c>
      <c r="B5550" t="s">
        <v>350</v>
      </c>
      <c r="C5550">
        <v>193</v>
      </c>
      <c r="D5550" t="s">
        <v>199</v>
      </c>
      <c r="E5550">
        <v>2633</v>
      </c>
      <c r="H5550" s="1">
        <v>1.1000000000000001E-3</v>
      </c>
      <c r="L5550" s="1">
        <v>0.79469999999999996</v>
      </c>
      <c r="M5550" s="1">
        <v>8.1699999999999995E-2</v>
      </c>
      <c r="N5550" s="1">
        <v>1.8E-3</v>
      </c>
      <c r="O5550" s="1">
        <v>6.4999999999999997E-3</v>
      </c>
      <c r="P5550" s="1">
        <v>0.10539999999999999</v>
      </c>
      <c r="Q5550" s="1">
        <v>8.8000000000000005E-3</v>
      </c>
    </row>
    <row r="5551" spans="1:18" x14ac:dyDescent="0.25">
      <c r="A5551" t="s">
        <v>198</v>
      </c>
      <c r="B5551" t="s">
        <v>350</v>
      </c>
      <c r="C5551">
        <v>78</v>
      </c>
      <c r="D5551" t="s">
        <v>200</v>
      </c>
      <c r="E5551">
        <v>2633</v>
      </c>
      <c r="H5551" s="1">
        <v>1.4E-3</v>
      </c>
      <c r="L5551" s="1">
        <v>0.53990000000000005</v>
      </c>
      <c r="M5551" s="1">
        <v>0.12529999999999999</v>
      </c>
      <c r="N5551" s="1">
        <v>1.12E-2</v>
      </c>
      <c r="P5551" s="1">
        <v>0.26179999999999998</v>
      </c>
      <c r="Q5551" s="1">
        <v>6.0400000000000002E-2</v>
      </c>
    </row>
    <row r="5552" spans="1:18" x14ac:dyDescent="0.25">
      <c r="A5552" t="s">
        <v>198</v>
      </c>
      <c r="B5552" t="s">
        <v>348</v>
      </c>
      <c r="C5552">
        <v>242</v>
      </c>
      <c r="D5552" t="s">
        <v>200</v>
      </c>
      <c r="E5552">
        <v>2633</v>
      </c>
      <c r="F5552" s="1">
        <v>7.1999999999999998E-3</v>
      </c>
      <c r="G5552" s="1">
        <v>8.0000000000000004E-4</v>
      </c>
      <c r="L5552" s="1">
        <v>0.82640000000000002</v>
      </c>
      <c r="M5552" s="1">
        <v>7.2700000000000001E-2</v>
      </c>
      <c r="N5552" s="1">
        <v>3.7999999999999999E-2</v>
      </c>
      <c r="P5552" s="1">
        <v>5.2900000000000003E-2</v>
      </c>
      <c r="Q5552" s="1">
        <v>2E-3</v>
      </c>
    </row>
    <row r="5553" spans="1:18" x14ac:dyDescent="0.25">
      <c r="A5553" t="s">
        <v>198</v>
      </c>
      <c r="B5553" t="s">
        <v>349</v>
      </c>
      <c r="C5553">
        <v>62</v>
      </c>
      <c r="D5553" t="s">
        <v>200</v>
      </c>
      <c r="E5553">
        <v>2633</v>
      </c>
      <c r="G5553" s="1">
        <v>1.6999999999999999E-3</v>
      </c>
      <c r="L5553" s="1">
        <v>0.38529999999999998</v>
      </c>
      <c r="M5553" s="1">
        <v>8.6699999999999999E-2</v>
      </c>
      <c r="N5553" s="1">
        <v>1.37E-2</v>
      </c>
      <c r="P5553" s="1">
        <v>0.51259999999999994</v>
      </c>
    </row>
    <row r="5554" spans="1:18" x14ac:dyDescent="0.25">
      <c r="A5554" t="s">
        <v>198</v>
      </c>
      <c r="B5554" t="s">
        <v>349</v>
      </c>
      <c r="C5554">
        <v>125</v>
      </c>
      <c r="D5554" t="s">
        <v>201</v>
      </c>
      <c r="E5554">
        <v>2633</v>
      </c>
      <c r="L5554" s="1">
        <v>0.8478</v>
      </c>
      <c r="M5554" s="1">
        <v>7.5800000000000006E-2</v>
      </c>
      <c r="N5554" s="1">
        <v>1.8800000000000001E-2</v>
      </c>
      <c r="P5554" s="1">
        <v>5.2499999999999998E-2</v>
      </c>
      <c r="Q5554" s="1">
        <v>5.1999999999999998E-3</v>
      </c>
    </row>
    <row r="5555" spans="1:18" x14ac:dyDescent="0.25">
      <c r="A5555" t="s">
        <v>198</v>
      </c>
      <c r="B5555" t="s">
        <v>350</v>
      </c>
      <c r="C5555">
        <v>63</v>
      </c>
      <c r="D5555" t="s">
        <v>201</v>
      </c>
      <c r="E5555">
        <v>2633</v>
      </c>
      <c r="L5555" s="1">
        <v>0.65149999999999997</v>
      </c>
      <c r="M5555" s="1">
        <v>0.1229</v>
      </c>
      <c r="N5555" s="1">
        <v>2.9399999999999999E-2</v>
      </c>
      <c r="P5555" s="1">
        <v>0.15989999999999999</v>
      </c>
      <c r="Q5555" s="1">
        <v>3.6299999999999999E-2</v>
      </c>
    </row>
    <row r="5556" spans="1:18" x14ac:dyDescent="0.25">
      <c r="A5556" t="s">
        <v>198</v>
      </c>
      <c r="B5556" t="s">
        <v>348</v>
      </c>
      <c r="C5556">
        <v>62</v>
      </c>
      <c r="D5556" t="s">
        <v>201</v>
      </c>
      <c r="E5556">
        <v>2633</v>
      </c>
      <c r="G5556" s="1">
        <v>1.37E-2</v>
      </c>
      <c r="H5556" s="1">
        <v>1.47E-2</v>
      </c>
      <c r="L5556" s="1">
        <v>0.43219999999999997</v>
      </c>
      <c r="M5556" s="1">
        <v>0.2064</v>
      </c>
      <c r="N5556" s="1">
        <v>2.8799999999999999E-2</v>
      </c>
      <c r="P5556" s="1">
        <v>0.2772</v>
      </c>
      <c r="Q5556" s="1">
        <v>2.7E-2</v>
      </c>
    </row>
    <row r="5557" spans="1:18" x14ac:dyDescent="0.25">
      <c r="A5557" t="s">
        <v>198</v>
      </c>
      <c r="B5557" t="s">
        <v>348</v>
      </c>
      <c r="C5557">
        <v>96</v>
      </c>
      <c r="D5557" t="s">
        <v>202</v>
      </c>
      <c r="E5557">
        <v>2633</v>
      </c>
      <c r="F5557" s="1">
        <v>2.5600000000000001E-2</v>
      </c>
      <c r="K5557" s="1">
        <v>2.52E-2</v>
      </c>
      <c r="L5557" s="1">
        <v>0.76070000000000004</v>
      </c>
      <c r="M5557" s="1">
        <v>5.21E-2</v>
      </c>
      <c r="N5557" s="1">
        <v>6.4399999999999999E-2</v>
      </c>
      <c r="P5557" s="1">
        <v>4.7800000000000002E-2</v>
      </c>
      <c r="Q5557" s="1">
        <v>2.4199999999999999E-2</v>
      </c>
    </row>
    <row r="5558" spans="1:18" x14ac:dyDescent="0.25">
      <c r="A5558" t="s">
        <v>203</v>
      </c>
      <c r="B5558" t="s">
        <v>349</v>
      </c>
      <c r="C5558">
        <v>171</v>
      </c>
      <c r="D5558" t="s">
        <v>199</v>
      </c>
      <c r="E5558">
        <v>2633</v>
      </c>
      <c r="L5558" s="1">
        <v>0.42159999999999997</v>
      </c>
      <c r="M5558" s="1">
        <v>0.38150000000000001</v>
      </c>
      <c r="N5558" s="1">
        <v>6.0400000000000002E-2</v>
      </c>
      <c r="P5558" s="1">
        <v>0.129</v>
      </c>
      <c r="Q5558" s="1">
        <v>7.6E-3</v>
      </c>
    </row>
    <row r="5559" spans="1:18" x14ac:dyDescent="0.25">
      <c r="A5559" t="s">
        <v>203</v>
      </c>
      <c r="B5559" t="s">
        <v>348</v>
      </c>
      <c r="C5559">
        <v>42</v>
      </c>
      <c r="D5559" t="s">
        <v>199</v>
      </c>
      <c r="E5559">
        <v>2633</v>
      </c>
      <c r="J5559" s="1">
        <v>0.01</v>
      </c>
      <c r="L5559" s="1">
        <v>0.68859999999999999</v>
      </c>
      <c r="M5559" s="1">
        <v>0.19109999999999999</v>
      </c>
      <c r="P5559" s="1">
        <v>0.1103</v>
      </c>
    </row>
    <row r="5560" spans="1:18" x14ac:dyDescent="0.25">
      <c r="A5560" t="s">
        <v>203</v>
      </c>
      <c r="B5560" t="s">
        <v>350</v>
      </c>
      <c r="C5560">
        <v>307</v>
      </c>
      <c r="D5560" t="s">
        <v>199</v>
      </c>
      <c r="E5560">
        <v>2633</v>
      </c>
      <c r="H5560" s="1">
        <v>1E-3</v>
      </c>
      <c r="J5560" s="1">
        <v>8.9999999999999998E-4</v>
      </c>
      <c r="L5560" s="1">
        <v>0.87580000000000002</v>
      </c>
      <c r="M5560" s="1">
        <v>8.4699999999999998E-2</v>
      </c>
      <c r="N5560" s="1">
        <v>3.8999999999999998E-3</v>
      </c>
      <c r="O5560" s="1">
        <v>8.9999999999999998E-4</v>
      </c>
      <c r="P5560" s="1">
        <v>2.9899999999999999E-2</v>
      </c>
      <c r="Q5560" s="1">
        <v>2.0999999999999999E-3</v>
      </c>
      <c r="R5560" s="1">
        <v>8.9999999999999998E-4</v>
      </c>
    </row>
    <row r="5561" spans="1:18" x14ac:dyDescent="0.25">
      <c r="A5561" t="s">
        <v>203</v>
      </c>
      <c r="B5561" t="s">
        <v>348</v>
      </c>
      <c r="C5561">
        <v>300</v>
      </c>
      <c r="D5561" t="s">
        <v>200</v>
      </c>
      <c r="E5561">
        <v>2633</v>
      </c>
      <c r="G5561" s="1">
        <v>4.1000000000000003E-3</v>
      </c>
      <c r="H5561" s="1">
        <v>2.5999999999999999E-3</v>
      </c>
      <c r="I5561" s="1">
        <v>2.0999999999999999E-3</v>
      </c>
      <c r="L5561" s="1">
        <v>0.78410000000000002</v>
      </c>
      <c r="M5561" s="1">
        <v>0.1132</v>
      </c>
      <c r="N5561" s="1">
        <v>6.6500000000000004E-2</v>
      </c>
      <c r="P5561" s="1">
        <v>2.7E-2</v>
      </c>
      <c r="Q5561" s="1">
        <v>5.0000000000000001E-4</v>
      </c>
    </row>
    <row r="5562" spans="1:18" x14ac:dyDescent="0.25">
      <c r="A5562" t="s">
        <v>203</v>
      </c>
      <c r="B5562" t="s">
        <v>349</v>
      </c>
      <c r="C5562">
        <v>108</v>
      </c>
      <c r="D5562" t="s">
        <v>200</v>
      </c>
      <c r="E5562">
        <v>2633</v>
      </c>
      <c r="L5562" s="1">
        <v>0.6784</v>
      </c>
      <c r="M5562" s="1">
        <v>0.23469999999999999</v>
      </c>
      <c r="P5562" s="1">
        <v>8.0399999999999999E-2</v>
      </c>
      <c r="Q5562" s="1">
        <v>6.4000000000000003E-3</v>
      </c>
    </row>
    <row r="5563" spans="1:18" x14ac:dyDescent="0.25">
      <c r="A5563" t="s">
        <v>203</v>
      </c>
      <c r="B5563" t="s">
        <v>350</v>
      </c>
      <c r="C5563">
        <v>94</v>
      </c>
      <c r="D5563" t="s">
        <v>200</v>
      </c>
      <c r="E5563">
        <v>2633</v>
      </c>
      <c r="H5563" s="1">
        <v>1.55E-2</v>
      </c>
      <c r="L5563" s="1">
        <v>0.7732</v>
      </c>
      <c r="M5563" s="1">
        <v>0.16789999999999999</v>
      </c>
      <c r="P5563" s="1">
        <v>0.04</v>
      </c>
      <c r="Q5563" s="1">
        <v>3.3999999999999998E-3</v>
      </c>
    </row>
    <row r="5564" spans="1:18" x14ac:dyDescent="0.25">
      <c r="A5564" t="s">
        <v>203</v>
      </c>
      <c r="B5564" t="s">
        <v>348</v>
      </c>
      <c r="C5564">
        <v>62</v>
      </c>
      <c r="D5564" t="s">
        <v>201</v>
      </c>
      <c r="E5564">
        <v>2633</v>
      </c>
      <c r="F5564" s="1">
        <v>5.1999999999999998E-3</v>
      </c>
      <c r="G5564" s="1">
        <v>5.1999999999999998E-3</v>
      </c>
      <c r="L5564" s="1">
        <v>0.29370000000000002</v>
      </c>
      <c r="M5564" s="1">
        <v>0.42880000000000001</v>
      </c>
      <c r="N5564" s="1">
        <v>1.7000000000000001E-2</v>
      </c>
      <c r="P5564" s="1">
        <v>0.23749999999999999</v>
      </c>
      <c r="Q5564" s="1">
        <v>1.26E-2</v>
      </c>
    </row>
    <row r="5565" spans="1:18" x14ac:dyDescent="0.25">
      <c r="A5565" t="s">
        <v>203</v>
      </c>
      <c r="B5565" t="s">
        <v>349</v>
      </c>
      <c r="C5565">
        <v>147</v>
      </c>
      <c r="D5565" t="s">
        <v>201</v>
      </c>
      <c r="E5565">
        <v>2633</v>
      </c>
      <c r="G5565" s="1">
        <v>2.0000000000000001E-4</v>
      </c>
      <c r="J5565" s="1">
        <v>8.5000000000000006E-3</v>
      </c>
      <c r="L5565" s="1">
        <v>0.6966</v>
      </c>
      <c r="M5565" s="1">
        <v>0.2117</v>
      </c>
      <c r="N5565" s="1">
        <v>1.8200000000000001E-2</v>
      </c>
      <c r="P5565" s="1">
        <v>6.1899999999999997E-2</v>
      </c>
      <c r="Q5565" s="1">
        <v>5.0000000000000001E-4</v>
      </c>
      <c r="R5565" s="1">
        <v>2.3E-3</v>
      </c>
    </row>
    <row r="5566" spans="1:18" x14ac:dyDescent="0.25">
      <c r="A5566" t="s">
        <v>203</v>
      </c>
      <c r="B5566" t="s">
        <v>350</v>
      </c>
      <c r="C5566">
        <v>105</v>
      </c>
      <c r="D5566" t="s">
        <v>201</v>
      </c>
      <c r="E5566">
        <v>2633</v>
      </c>
      <c r="L5566" s="1">
        <v>0.54179999999999995</v>
      </c>
      <c r="M5566" s="1">
        <v>0.22559999999999999</v>
      </c>
      <c r="N5566" s="1">
        <v>5.1499999999999997E-2</v>
      </c>
      <c r="P5566" s="1">
        <v>0.16220000000000001</v>
      </c>
      <c r="Q5566" s="1">
        <v>1.9E-2</v>
      </c>
    </row>
    <row r="5567" spans="1:18" x14ac:dyDescent="0.25">
      <c r="A5567" t="s">
        <v>203</v>
      </c>
      <c r="B5567" t="s">
        <v>348</v>
      </c>
      <c r="C5567">
        <v>90</v>
      </c>
      <c r="D5567" t="s">
        <v>202</v>
      </c>
      <c r="E5567">
        <v>2633</v>
      </c>
      <c r="J5567" s="1">
        <v>5.8999999999999999E-3</v>
      </c>
      <c r="K5567" s="1">
        <v>1.0200000000000001E-2</v>
      </c>
      <c r="L5567" s="1">
        <v>0.73560000000000003</v>
      </c>
      <c r="M5567" s="1">
        <v>4.8000000000000001E-2</v>
      </c>
      <c r="N5567" s="1">
        <v>0.122</v>
      </c>
      <c r="P5567" s="1">
        <v>7.3200000000000001E-2</v>
      </c>
      <c r="Q5567" s="1">
        <v>4.8999999999999998E-3</v>
      </c>
    </row>
    <row r="5568" spans="1:18" x14ac:dyDescent="0.25">
      <c r="A5568" t="s">
        <v>204</v>
      </c>
      <c r="B5568" t="s">
        <v>204</v>
      </c>
      <c r="C5568">
        <v>2633</v>
      </c>
      <c r="D5568" t="s">
        <v>204</v>
      </c>
      <c r="E5568">
        <v>2633</v>
      </c>
      <c r="F5568" s="1">
        <v>4.1000000000000003E-3</v>
      </c>
      <c r="G5568" s="1">
        <v>1.4E-3</v>
      </c>
      <c r="H5568" s="1">
        <v>2.7000000000000001E-3</v>
      </c>
      <c r="I5568" s="1">
        <v>5.9999999999999995E-4</v>
      </c>
      <c r="J5568" s="1">
        <v>8.0000000000000004E-4</v>
      </c>
      <c r="K5568" s="1">
        <v>2.8999999999999998E-3</v>
      </c>
      <c r="L5568" s="1">
        <v>0.7339</v>
      </c>
      <c r="M5568" s="1">
        <v>0.12620000000000001</v>
      </c>
      <c r="N5568" s="1">
        <v>4.2700000000000002E-2</v>
      </c>
      <c r="O5568" s="1">
        <v>4.0000000000000002E-4</v>
      </c>
      <c r="P5568" s="1">
        <v>7.7399999999999997E-2</v>
      </c>
      <c r="Q5568" s="1">
        <v>6.7999999999999996E-3</v>
      </c>
      <c r="R5568" s="1">
        <v>2.0000000000000001E-4</v>
      </c>
    </row>
    <row r="5570" spans="1:8" x14ac:dyDescent="0.25">
      <c r="A5570" t="s">
        <v>1113</v>
      </c>
    </row>
    <row r="5571" spans="1:8" x14ac:dyDescent="0.25">
      <c r="A5571" t="s">
        <v>190</v>
      </c>
      <c r="B5571" t="s">
        <v>195</v>
      </c>
      <c r="C5571" t="s">
        <v>189</v>
      </c>
      <c r="D5571" t="s">
        <v>196</v>
      </c>
      <c r="E5571" t="s">
        <v>220</v>
      </c>
      <c r="F5571" t="s">
        <v>207</v>
      </c>
      <c r="G5571" t="s">
        <v>208</v>
      </c>
    </row>
    <row r="5572" spans="1:8" x14ac:dyDescent="0.25">
      <c r="A5572" t="s">
        <v>198</v>
      </c>
      <c r="B5572">
        <v>81</v>
      </c>
      <c r="C5572" t="s">
        <v>197</v>
      </c>
      <c r="D5572">
        <v>2621</v>
      </c>
      <c r="F5572" s="1">
        <v>0.80759999999999998</v>
      </c>
      <c r="G5572" s="1">
        <v>0.19239999999999999</v>
      </c>
    </row>
    <row r="5573" spans="1:8" x14ac:dyDescent="0.25">
      <c r="A5573" t="s">
        <v>198</v>
      </c>
      <c r="B5573">
        <v>365</v>
      </c>
      <c r="C5573" t="s">
        <v>199</v>
      </c>
      <c r="D5573">
        <v>2621</v>
      </c>
      <c r="F5573" s="1">
        <v>0.94279999999999997</v>
      </c>
      <c r="G5573" s="1">
        <v>5.7200000000000001E-2</v>
      </c>
    </row>
    <row r="5574" spans="1:8" x14ac:dyDescent="0.25">
      <c r="A5574" t="s">
        <v>198</v>
      </c>
      <c r="B5574">
        <v>386</v>
      </c>
      <c r="C5574" t="s">
        <v>200</v>
      </c>
      <c r="D5574">
        <v>2621</v>
      </c>
      <c r="F5574" s="1">
        <v>0.9577</v>
      </c>
      <c r="G5574" s="1">
        <v>4.2299999999999997E-2</v>
      </c>
    </row>
    <row r="5575" spans="1:8" x14ac:dyDescent="0.25">
      <c r="A5575" t="s">
        <v>198</v>
      </c>
      <c r="B5575">
        <v>255</v>
      </c>
      <c r="C5575" t="s">
        <v>201</v>
      </c>
      <c r="D5575">
        <v>2621</v>
      </c>
      <c r="F5575" s="1">
        <v>0.87880000000000003</v>
      </c>
      <c r="G5575" s="1">
        <v>0.1212</v>
      </c>
    </row>
    <row r="5576" spans="1:8" x14ac:dyDescent="0.25">
      <c r="A5576" t="s">
        <v>198</v>
      </c>
      <c r="B5576">
        <v>96</v>
      </c>
      <c r="C5576" t="s">
        <v>202</v>
      </c>
      <c r="D5576">
        <v>2621</v>
      </c>
      <c r="F5576" s="1">
        <v>0.77939999999999998</v>
      </c>
      <c r="G5576" s="1">
        <v>0.22059999999999999</v>
      </c>
    </row>
    <row r="5577" spans="1:8" x14ac:dyDescent="0.25">
      <c r="A5577" t="s">
        <v>203</v>
      </c>
      <c r="B5577">
        <v>527</v>
      </c>
      <c r="C5577" t="s">
        <v>199</v>
      </c>
      <c r="D5577">
        <v>2621</v>
      </c>
      <c r="E5577" s="1">
        <v>8.5000000000000006E-3</v>
      </c>
      <c r="F5577" s="1">
        <v>0.9748</v>
      </c>
      <c r="G5577" s="1">
        <v>1.6799999999999999E-2</v>
      </c>
    </row>
    <row r="5578" spans="1:8" x14ac:dyDescent="0.25">
      <c r="A5578" t="s">
        <v>203</v>
      </c>
      <c r="B5578">
        <v>501</v>
      </c>
      <c r="C5578" t="s">
        <v>200</v>
      </c>
      <c r="D5578">
        <v>2621</v>
      </c>
      <c r="F5578" s="1">
        <v>0.94110000000000005</v>
      </c>
      <c r="G5578" s="1">
        <v>5.8900000000000001E-2</v>
      </c>
    </row>
    <row r="5579" spans="1:8" x14ac:dyDescent="0.25">
      <c r="A5579" t="s">
        <v>203</v>
      </c>
      <c r="B5579">
        <v>320</v>
      </c>
      <c r="C5579" t="s">
        <v>201</v>
      </c>
      <c r="D5579">
        <v>2621</v>
      </c>
      <c r="E5579" s="1">
        <v>2.0000000000000001E-4</v>
      </c>
      <c r="F5579" s="1">
        <v>0.91800000000000004</v>
      </c>
      <c r="G5579" s="1">
        <v>8.1799999999999998E-2</v>
      </c>
    </row>
    <row r="5580" spans="1:8" x14ac:dyDescent="0.25">
      <c r="A5580" t="s">
        <v>203</v>
      </c>
      <c r="B5580">
        <v>90</v>
      </c>
      <c r="C5580" t="s">
        <v>202</v>
      </c>
      <c r="D5580">
        <v>2621</v>
      </c>
      <c r="F5580" s="1">
        <v>0.93089999999999995</v>
      </c>
      <c r="G5580" s="1">
        <v>6.9099999999999995E-2</v>
      </c>
    </row>
    <row r="5581" spans="1:8" x14ac:dyDescent="0.25">
      <c r="A5581" t="s">
        <v>204</v>
      </c>
      <c r="B5581">
        <v>2621</v>
      </c>
      <c r="C5581" t="s">
        <v>204</v>
      </c>
      <c r="D5581">
        <v>2621</v>
      </c>
      <c r="E5581" s="1">
        <v>1.1000000000000001E-3</v>
      </c>
      <c r="F5581" s="1">
        <v>0.91920000000000002</v>
      </c>
      <c r="G5581" s="1">
        <v>7.9699999999999993E-2</v>
      </c>
    </row>
    <row r="5583" spans="1:8" x14ac:dyDescent="0.25">
      <c r="A5583" t="s">
        <v>1114</v>
      </c>
    </row>
    <row r="5584" spans="1:8" x14ac:dyDescent="0.25">
      <c r="A5584" t="s">
        <v>189</v>
      </c>
      <c r="B5584" t="s">
        <v>190</v>
      </c>
      <c r="C5584" t="s">
        <v>191</v>
      </c>
      <c r="D5584" t="s">
        <v>192</v>
      </c>
      <c r="E5584" t="s">
        <v>193</v>
      </c>
      <c r="F5584" t="s">
        <v>194</v>
      </c>
      <c r="G5584" t="s">
        <v>195</v>
      </c>
      <c r="H5584" t="s">
        <v>196</v>
      </c>
    </row>
    <row r="5585" spans="1:8" x14ac:dyDescent="0.25">
      <c r="A5585" t="s">
        <v>197</v>
      </c>
      <c r="B5585" t="s">
        <v>198</v>
      </c>
      <c r="C5585">
        <v>7.8212218062893406</v>
      </c>
      <c r="D5585">
        <v>5</v>
      </c>
      <c r="E5585">
        <v>1</v>
      </c>
      <c r="F5585">
        <v>20</v>
      </c>
      <c r="G5585">
        <v>14</v>
      </c>
      <c r="H5585">
        <v>151</v>
      </c>
    </row>
    <row r="5586" spans="1:8" x14ac:dyDescent="0.25">
      <c r="A5586" t="s">
        <v>199</v>
      </c>
      <c r="B5586" t="s">
        <v>198</v>
      </c>
      <c r="C5586">
        <v>3.4865598601291041</v>
      </c>
      <c r="D5586">
        <v>2</v>
      </c>
      <c r="E5586">
        <v>1</v>
      </c>
      <c r="F5586">
        <v>15</v>
      </c>
      <c r="G5586">
        <v>38</v>
      </c>
      <c r="H5586">
        <v>151</v>
      </c>
    </row>
    <row r="5587" spans="1:8" x14ac:dyDescent="0.25">
      <c r="A5587" t="s">
        <v>200</v>
      </c>
      <c r="B5587" t="s">
        <v>198</v>
      </c>
      <c r="C5587">
        <v>7.4772106256267872</v>
      </c>
      <c r="D5587">
        <v>3</v>
      </c>
      <c r="E5587">
        <v>1</v>
      </c>
      <c r="F5587">
        <v>39</v>
      </c>
      <c r="G5587">
        <v>19</v>
      </c>
      <c r="H5587">
        <v>151</v>
      </c>
    </row>
    <row r="5588" spans="1:8" x14ac:dyDescent="0.25">
      <c r="A5588" t="s">
        <v>201</v>
      </c>
      <c r="B5588" t="s">
        <v>198</v>
      </c>
      <c r="C5588">
        <v>2.4217134155182909</v>
      </c>
      <c r="D5588">
        <v>2</v>
      </c>
      <c r="E5588">
        <v>1</v>
      </c>
      <c r="F5588">
        <v>10</v>
      </c>
      <c r="G5588">
        <v>24</v>
      </c>
      <c r="H5588">
        <v>151</v>
      </c>
    </row>
    <row r="5589" spans="1:8" x14ac:dyDescent="0.25">
      <c r="A5589" t="s">
        <v>202</v>
      </c>
      <c r="B5589" t="s">
        <v>198</v>
      </c>
      <c r="C5589">
        <v>4.0093149593557058</v>
      </c>
      <c r="D5589">
        <v>3</v>
      </c>
      <c r="E5589">
        <v>1</v>
      </c>
      <c r="F5589">
        <v>18</v>
      </c>
      <c r="G5589">
        <v>24</v>
      </c>
      <c r="H5589">
        <v>151</v>
      </c>
    </row>
    <row r="5590" spans="1:8" x14ac:dyDescent="0.25">
      <c r="A5590" t="s">
        <v>199</v>
      </c>
      <c r="B5590" t="s">
        <v>203</v>
      </c>
      <c r="C5590">
        <v>2.7767895505718441</v>
      </c>
      <c r="D5590">
        <v>2</v>
      </c>
      <c r="E5590">
        <v>1</v>
      </c>
      <c r="F5590">
        <v>10</v>
      </c>
      <c r="G5590">
        <v>9</v>
      </c>
      <c r="H5590">
        <v>151</v>
      </c>
    </row>
    <row r="5591" spans="1:8" x14ac:dyDescent="0.25">
      <c r="A5591" t="s">
        <v>200</v>
      </c>
      <c r="B5591" t="s">
        <v>203</v>
      </c>
      <c r="C5591">
        <v>3.2158179901215531</v>
      </c>
      <c r="D5591">
        <v>3</v>
      </c>
      <c r="E5591">
        <v>1</v>
      </c>
      <c r="F5591">
        <v>6</v>
      </c>
      <c r="G5591">
        <v>12</v>
      </c>
      <c r="H5591">
        <v>151</v>
      </c>
    </row>
    <row r="5592" spans="1:8" x14ac:dyDescent="0.25">
      <c r="A5592" t="s">
        <v>201</v>
      </c>
      <c r="B5592" t="s">
        <v>203</v>
      </c>
      <c r="C5592">
        <v>2.7500236047096882</v>
      </c>
      <c r="D5592">
        <v>2</v>
      </c>
      <c r="E5592">
        <v>2</v>
      </c>
      <c r="F5592">
        <v>8</v>
      </c>
      <c r="G5592">
        <v>6</v>
      </c>
      <c r="H5592">
        <v>151</v>
      </c>
    </row>
    <row r="5593" spans="1:8" x14ac:dyDescent="0.25">
      <c r="A5593" t="s">
        <v>202</v>
      </c>
      <c r="B5593" t="s">
        <v>203</v>
      </c>
      <c r="C5593">
        <v>8.052174430979635</v>
      </c>
      <c r="D5593">
        <v>20</v>
      </c>
      <c r="E5593">
        <v>1</v>
      </c>
      <c r="F5593">
        <v>20</v>
      </c>
      <c r="G5593">
        <v>5</v>
      </c>
      <c r="H5593">
        <v>151</v>
      </c>
    </row>
    <row r="5594" spans="1:8" x14ac:dyDescent="0.25">
      <c r="A5594" t="s">
        <v>204</v>
      </c>
      <c r="B5594" t="s">
        <v>204</v>
      </c>
      <c r="C5594">
        <v>4.6926629763301122</v>
      </c>
      <c r="D5594">
        <v>3</v>
      </c>
      <c r="E5594">
        <v>1</v>
      </c>
      <c r="F5594">
        <v>39</v>
      </c>
      <c r="G5594">
        <v>151</v>
      </c>
      <c r="H5594">
        <v>151</v>
      </c>
    </row>
    <row r="5596" spans="1:8" x14ac:dyDescent="0.25">
      <c r="A5596" t="s">
        <v>1115</v>
      </c>
    </row>
    <row r="5597" spans="1:8" x14ac:dyDescent="0.25">
      <c r="A5597" t="s">
        <v>190</v>
      </c>
      <c r="B5597" t="s">
        <v>195</v>
      </c>
      <c r="C5597" t="s">
        <v>189</v>
      </c>
      <c r="D5597" t="s">
        <v>196</v>
      </c>
      <c r="E5597" t="s">
        <v>220</v>
      </c>
      <c r="F5597" t="s">
        <v>207</v>
      </c>
      <c r="G5597" t="s">
        <v>215</v>
      </c>
      <c r="H5597" t="s">
        <v>208</v>
      </c>
    </row>
    <row r="5598" spans="1:8" x14ac:dyDescent="0.25">
      <c r="A5598" t="s">
        <v>198</v>
      </c>
      <c r="B5598">
        <v>80</v>
      </c>
      <c r="C5598" t="s">
        <v>197</v>
      </c>
      <c r="D5598">
        <v>2615</v>
      </c>
      <c r="E5598" s="1">
        <v>2.8500000000000001E-2</v>
      </c>
      <c r="F5598" s="1">
        <v>0.17480000000000001</v>
      </c>
      <c r="H5598" s="1">
        <v>0.79669999999999996</v>
      </c>
    </row>
    <row r="5599" spans="1:8" x14ac:dyDescent="0.25">
      <c r="A5599" t="s">
        <v>198</v>
      </c>
      <c r="B5599">
        <v>365</v>
      </c>
      <c r="C5599" t="s">
        <v>199</v>
      </c>
      <c r="D5599">
        <v>2615</v>
      </c>
      <c r="E5599" s="1">
        <v>3.2000000000000002E-3</v>
      </c>
      <c r="F5599" s="1">
        <v>6.9199999999999998E-2</v>
      </c>
      <c r="H5599" s="1">
        <v>0.92759999999999998</v>
      </c>
    </row>
    <row r="5600" spans="1:8" x14ac:dyDescent="0.25">
      <c r="A5600" t="s">
        <v>198</v>
      </c>
      <c r="B5600">
        <v>384</v>
      </c>
      <c r="C5600" t="s">
        <v>200</v>
      </c>
      <c r="D5600">
        <v>2615</v>
      </c>
      <c r="E5600" s="1">
        <v>8.0000000000000004E-4</v>
      </c>
      <c r="F5600" s="1">
        <v>9.5899999999999999E-2</v>
      </c>
      <c r="H5600" s="1">
        <v>0.90329999999999999</v>
      </c>
    </row>
    <row r="5601" spans="1:9" x14ac:dyDescent="0.25">
      <c r="A5601" t="s">
        <v>198</v>
      </c>
      <c r="B5601">
        <v>255</v>
      </c>
      <c r="C5601" t="s">
        <v>201</v>
      </c>
      <c r="D5601">
        <v>2615</v>
      </c>
      <c r="E5601" s="1">
        <v>4.7999999999999996E-3</v>
      </c>
      <c r="F5601" s="1">
        <v>0.1045</v>
      </c>
      <c r="H5601" s="1">
        <v>0.89070000000000005</v>
      </c>
    </row>
    <row r="5602" spans="1:9" x14ac:dyDescent="0.25">
      <c r="A5602" t="s">
        <v>198</v>
      </c>
      <c r="B5602">
        <v>94</v>
      </c>
      <c r="C5602" t="s">
        <v>202</v>
      </c>
      <c r="D5602">
        <v>2615</v>
      </c>
      <c r="F5602" s="1">
        <v>6.2E-2</v>
      </c>
      <c r="G5602" s="1">
        <v>8.2000000000000007E-3</v>
      </c>
      <c r="H5602" s="1">
        <v>0.92979999999999996</v>
      </c>
    </row>
    <row r="5603" spans="1:9" x14ac:dyDescent="0.25">
      <c r="A5603" t="s">
        <v>203</v>
      </c>
      <c r="B5603">
        <v>527</v>
      </c>
      <c r="C5603" t="s">
        <v>199</v>
      </c>
      <c r="D5603">
        <v>2615</v>
      </c>
      <c r="F5603" s="1">
        <v>2.98E-2</v>
      </c>
      <c r="H5603" s="1">
        <v>0.97019999999999995</v>
      </c>
    </row>
    <row r="5604" spans="1:9" x14ac:dyDescent="0.25">
      <c r="A5604" t="s">
        <v>203</v>
      </c>
      <c r="B5604">
        <v>501</v>
      </c>
      <c r="C5604" t="s">
        <v>200</v>
      </c>
      <c r="D5604">
        <v>2615</v>
      </c>
      <c r="F5604" s="1">
        <v>3.2500000000000001E-2</v>
      </c>
      <c r="H5604" s="1">
        <v>0.96750000000000003</v>
      </c>
    </row>
    <row r="5605" spans="1:9" x14ac:dyDescent="0.25">
      <c r="A5605" t="s">
        <v>203</v>
      </c>
      <c r="B5605">
        <v>319</v>
      </c>
      <c r="C5605" t="s">
        <v>201</v>
      </c>
      <c r="D5605">
        <v>2615</v>
      </c>
      <c r="E5605" s="1">
        <v>2.0000000000000001E-4</v>
      </c>
      <c r="F5605" s="1">
        <v>7.5200000000000003E-2</v>
      </c>
      <c r="H5605" s="1">
        <v>0.92459999999999998</v>
      </c>
    </row>
    <row r="5606" spans="1:9" x14ac:dyDescent="0.25">
      <c r="A5606" t="s">
        <v>203</v>
      </c>
      <c r="B5606">
        <v>90</v>
      </c>
      <c r="C5606" t="s">
        <v>202</v>
      </c>
      <c r="D5606">
        <v>2615</v>
      </c>
      <c r="F5606" s="1">
        <v>3.78E-2</v>
      </c>
      <c r="H5606" s="1">
        <v>0.96220000000000006</v>
      </c>
    </row>
    <row r="5607" spans="1:9" x14ac:dyDescent="0.25">
      <c r="A5607" t="s">
        <v>204</v>
      </c>
      <c r="B5607">
        <v>2615</v>
      </c>
      <c r="C5607" t="s">
        <v>204</v>
      </c>
      <c r="D5607">
        <v>2615</v>
      </c>
      <c r="E5607" s="1">
        <v>2.5000000000000001E-3</v>
      </c>
      <c r="F5607" s="1">
        <v>6.25E-2</v>
      </c>
      <c r="G5607" s="1">
        <v>8.0000000000000004E-4</v>
      </c>
      <c r="H5607" s="1">
        <v>0.93420000000000003</v>
      </c>
    </row>
    <row r="5609" spans="1:9" x14ac:dyDescent="0.25">
      <c r="A5609" t="s">
        <v>1116</v>
      </c>
    </row>
    <row r="5610" spans="1:9" x14ac:dyDescent="0.25">
      <c r="A5610" t="s">
        <v>190</v>
      </c>
      <c r="B5610" t="s">
        <v>206</v>
      </c>
      <c r="C5610" t="s">
        <v>195</v>
      </c>
      <c r="D5610" t="s">
        <v>189</v>
      </c>
      <c r="E5610" t="s">
        <v>196</v>
      </c>
      <c r="F5610" t="s">
        <v>220</v>
      </c>
      <c r="G5610" t="s">
        <v>207</v>
      </c>
      <c r="H5610" t="s">
        <v>215</v>
      </c>
      <c r="I5610" t="s">
        <v>208</v>
      </c>
    </row>
    <row r="5611" spans="1:9" x14ac:dyDescent="0.25">
      <c r="A5611" t="s">
        <v>198</v>
      </c>
      <c r="B5611" t="s">
        <v>228</v>
      </c>
      <c r="C5611">
        <v>31</v>
      </c>
      <c r="D5611" t="s">
        <v>197</v>
      </c>
      <c r="E5611">
        <v>2615</v>
      </c>
      <c r="G5611" s="1">
        <v>0.30590000000000001</v>
      </c>
      <c r="I5611" s="1">
        <v>0.69410000000000005</v>
      </c>
    </row>
    <row r="5612" spans="1:9" x14ac:dyDescent="0.25">
      <c r="A5612" t="s">
        <v>198</v>
      </c>
      <c r="B5612" t="s">
        <v>229</v>
      </c>
      <c r="C5612">
        <v>49</v>
      </c>
      <c r="D5612" t="s">
        <v>197</v>
      </c>
      <c r="E5612">
        <v>2615</v>
      </c>
      <c r="F5612" s="1">
        <v>4.8399999999999999E-2</v>
      </c>
      <c r="G5612" s="1">
        <v>8.3099999999999993E-2</v>
      </c>
      <c r="I5612" s="1">
        <v>0.86839999999999995</v>
      </c>
    </row>
    <row r="5613" spans="1:9" x14ac:dyDescent="0.25">
      <c r="A5613" t="s">
        <v>198</v>
      </c>
      <c r="B5613" t="s">
        <v>228</v>
      </c>
      <c r="C5613">
        <v>144</v>
      </c>
      <c r="D5613" t="s">
        <v>199</v>
      </c>
      <c r="E5613">
        <v>2615</v>
      </c>
      <c r="F5613" s="1">
        <v>1.23E-2</v>
      </c>
      <c r="G5613" s="1">
        <v>0.20030000000000001</v>
      </c>
      <c r="I5613" s="1">
        <v>0.78739999999999999</v>
      </c>
    </row>
    <row r="5614" spans="1:9" x14ac:dyDescent="0.25">
      <c r="A5614" t="s">
        <v>198</v>
      </c>
      <c r="B5614" t="s">
        <v>229</v>
      </c>
      <c r="C5614">
        <v>211</v>
      </c>
      <c r="D5614" t="s">
        <v>199</v>
      </c>
      <c r="E5614">
        <v>2615</v>
      </c>
      <c r="G5614" s="1">
        <v>2.4199999999999999E-2</v>
      </c>
      <c r="I5614" s="1">
        <v>0.9758</v>
      </c>
    </row>
    <row r="5615" spans="1:9" x14ac:dyDescent="0.25">
      <c r="A5615" t="s">
        <v>198</v>
      </c>
      <c r="B5615" t="s">
        <v>229</v>
      </c>
      <c r="C5615">
        <v>268</v>
      </c>
      <c r="D5615" t="s">
        <v>200</v>
      </c>
      <c r="E5615">
        <v>2615</v>
      </c>
      <c r="G5615" s="1">
        <v>4.82E-2</v>
      </c>
      <c r="I5615" s="1">
        <v>0.95179999999999998</v>
      </c>
    </row>
    <row r="5616" spans="1:9" x14ac:dyDescent="0.25">
      <c r="A5616" t="s">
        <v>198</v>
      </c>
      <c r="B5616" t="s">
        <v>228</v>
      </c>
      <c r="C5616">
        <v>111</v>
      </c>
      <c r="D5616" t="s">
        <v>200</v>
      </c>
      <c r="E5616">
        <v>2615</v>
      </c>
      <c r="F5616" s="1">
        <v>3.5000000000000001E-3</v>
      </c>
      <c r="G5616" s="1">
        <v>0.25819999999999999</v>
      </c>
      <c r="I5616" s="1">
        <v>0.73819999999999997</v>
      </c>
    </row>
    <row r="5617" spans="1:12" x14ac:dyDescent="0.25">
      <c r="A5617" t="s">
        <v>198</v>
      </c>
      <c r="B5617" t="s">
        <v>228</v>
      </c>
      <c r="C5617">
        <v>94</v>
      </c>
      <c r="D5617" t="s">
        <v>201</v>
      </c>
      <c r="E5617">
        <v>2615</v>
      </c>
      <c r="F5617" s="1">
        <v>5.8999999999999999E-3</v>
      </c>
      <c r="G5617" s="1">
        <v>0.30020000000000002</v>
      </c>
      <c r="I5617" s="1">
        <v>0.69389999999999996</v>
      </c>
    </row>
    <row r="5618" spans="1:12" x14ac:dyDescent="0.25">
      <c r="A5618" t="s">
        <v>198</v>
      </c>
      <c r="B5618" t="s">
        <v>229</v>
      </c>
      <c r="C5618">
        <v>155</v>
      </c>
      <c r="D5618" t="s">
        <v>201</v>
      </c>
      <c r="E5618">
        <v>2615</v>
      </c>
      <c r="F5618" s="1">
        <v>4.5999999999999999E-3</v>
      </c>
      <c r="G5618" s="1">
        <v>5.1999999999999998E-2</v>
      </c>
      <c r="I5618" s="1">
        <v>0.94340000000000002</v>
      </c>
    </row>
    <row r="5619" spans="1:12" s="29" customFormat="1" x14ac:dyDescent="0.25">
      <c r="A5619" s="29" t="s">
        <v>198</v>
      </c>
      <c r="B5619" s="29" t="s">
        <v>228</v>
      </c>
      <c r="C5619" s="29">
        <v>26</v>
      </c>
      <c r="D5619" s="29" t="s">
        <v>202</v>
      </c>
      <c r="E5619" s="29">
        <v>2615</v>
      </c>
      <c r="G5619" s="30">
        <v>0.14510000000000001</v>
      </c>
      <c r="I5619" s="30">
        <v>0.85489999999999999</v>
      </c>
    </row>
    <row r="5620" spans="1:12" x14ac:dyDescent="0.25">
      <c r="A5620" t="s">
        <v>198</v>
      </c>
      <c r="B5620" t="s">
        <v>229</v>
      </c>
      <c r="C5620">
        <v>68</v>
      </c>
      <c r="D5620" t="s">
        <v>202</v>
      </c>
      <c r="E5620">
        <v>2615</v>
      </c>
      <c r="G5620" s="1">
        <v>3.9100000000000003E-2</v>
      </c>
      <c r="H5620" s="1">
        <v>1.0500000000000001E-2</v>
      </c>
      <c r="I5620" s="1">
        <v>0.95040000000000002</v>
      </c>
    </row>
    <row r="5621" spans="1:12" x14ac:dyDescent="0.25">
      <c r="A5621" t="s">
        <v>203</v>
      </c>
      <c r="B5621" t="s">
        <v>229</v>
      </c>
      <c r="C5621">
        <v>368</v>
      </c>
      <c r="D5621" t="s">
        <v>199</v>
      </c>
      <c r="E5621">
        <v>2615</v>
      </c>
      <c r="G5621" s="1">
        <v>8.8999999999999999E-3</v>
      </c>
      <c r="I5621" s="1">
        <v>0.99109999999999998</v>
      </c>
    </row>
    <row r="5622" spans="1:12" x14ac:dyDescent="0.25">
      <c r="A5622" t="s">
        <v>203</v>
      </c>
      <c r="B5622" t="s">
        <v>228</v>
      </c>
      <c r="C5622">
        <v>149</v>
      </c>
      <c r="D5622" t="s">
        <v>199</v>
      </c>
      <c r="E5622">
        <v>2615</v>
      </c>
      <c r="G5622" s="1">
        <v>0.20319999999999999</v>
      </c>
      <c r="I5622" s="1">
        <v>0.79679999999999995</v>
      </c>
    </row>
    <row r="5623" spans="1:12" x14ac:dyDescent="0.25">
      <c r="A5623" t="s">
        <v>203</v>
      </c>
      <c r="B5623" t="s">
        <v>229</v>
      </c>
      <c r="C5623">
        <v>345</v>
      </c>
      <c r="D5623" t="s">
        <v>200</v>
      </c>
      <c r="E5623">
        <v>2615</v>
      </c>
      <c r="G5623" s="1">
        <v>2.6800000000000001E-2</v>
      </c>
      <c r="I5623" s="1">
        <v>0.97319999999999995</v>
      </c>
    </row>
    <row r="5624" spans="1:12" x14ac:dyDescent="0.25">
      <c r="A5624" t="s">
        <v>203</v>
      </c>
      <c r="B5624" t="s">
        <v>228</v>
      </c>
      <c r="C5624">
        <v>155</v>
      </c>
      <c r="D5624" t="s">
        <v>200</v>
      </c>
      <c r="E5624">
        <v>2615</v>
      </c>
      <c r="G5624" s="1">
        <v>5.6099999999999997E-2</v>
      </c>
      <c r="I5624" s="1">
        <v>0.94389999999999996</v>
      </c>
    </row>
    <row r="5625" spans="1:12" x14ac:dyDescent="0.25">
      <c r="A5625" t="s">
        <v>203</v>
      </c>
      <c r="B5625" t="s">
        <v>229</v>
      </c>
      <c r="C5625">
        <v>135</v>
      </c>
      <c r="D5625" t="s">
        <v>201</v>
      </c>
      <c r="E5625">
        <v>2615</v>
      </c>
      <c r="G5625" s="1">
        <v>2.3400000000000001E-2</v>
      </c>
      <c r="I5625" s="1">
        <v>0.97660000000000002</v>
      </c>
    </row>
    <row r="5626" spans="1:12" x14ac:dyDescent="0.25">
      <c r="A5626" t="s">
        <v>203</v>
      </c>
      <c r="B5626" t="s">
        <v>228</v>
      </c>
      <c r="C5626">
        <v>177</v>
      </c>
      <c r="D5626" t="s">
        <v>201</v>
      </c>
      <c r="E5626">
        <v>2615</v>
      </c>
      <c r="F5626" s="1">
        <v>8.0000000000000004E-4</v>
      </c>
      <c r="G5626" s="1">
        <v>0.2402</v>
      </c>
      <c r="I5626" s="1">
        <v>0.75900000000000001</v>
      </c>
    </row>
    <row r="5627" spans="1:12" x14ac:dyDescent="0.25">
      <c r="A5627" t="s">
        <v>203</v>
      </c>
      <c r="B5627" t="s">
        <v>228</v>
      </c>
      <c r="C5627">
        <v>34</v>
      </c>
      <c r="D5627" t="s">
        <v>202</v>
      </c>
      <c r="E5627">
        <v>2615</v>
      </c>
      <c r="G5627" s="1">
        <v>8.0100000000000005E-2</v>
      </c>
      <c r="I5627" s="1">
        <v>0.91990000000000005</v>
      </c>
    </row>
    <row r="5628" spans="1:12" x14ac:dyDescent="0.25">
      <c r="A5628" t="s">
        <v>203</v>
      </c>
      <c r="B5628" t="s">
        <v>229</v>
      </c>
      <c r="C5628">
        <v>56</v>
      </c>
      <c r="D5628" t="s">
        <v>202</v>
      </c>
      <c r="E5628">
        <v>2615</v>
      </c>
      <c r="G5628" s="1">
        <v>2.12E-2</v>
      </c>
      <c r="I5628" s="1">
        <v>0.9788</v>
      </c>
    </row>
    <row r="5629" spans="1:12" x14ac:dyDescent="0.25">
      <c r="A5629" t="s">
        <v>204</v>
      </c>
      <c r="B5629" t="s">
        <v>204</v>
      </c>
      <c r="C5629">
        <v>2615</v>
      </c>
      <c r="D5629" t="s">
        <v>204</v>
      </c>
      <c r="E5629">
        <v>2615</v>
      </c>
      <c r="F5629" s="1">
        <v>2.5000000000000001E-3</v>
      </c>
      <c r="G5629" s="1">
        <v>6.25E-2</v>
      </c>
      <c r="H5629" s="1">
        <v>8.0000000000000004E-4</v>
      </c>
      <c r="I5629" s="1">
        <v>0.93420000000000003</v>
      </c>
    </row>
    <row r="5631" spans="1:12" x14ac:dyDescent="0.25">
      <c r="A5631" t="s">
        <v>1117</v>
      </c>
    </row>
    <row r="5632" spans="1:12" x14ac:dyDescent="0.25">
      <c r="A5632" t="s">
        <v>190</v>
      </c>
      <c r="B5632" t="s">
        <v>195</v>
      </c>
      <c r="C5632" t="s">
        <v>189</v>
      </c>
      <c r="D5632" t="s">
        <v>196</v>
      </c>
      <c r="E5632" t="s">
        <v>220</v>
      </c>
      <c r="F5632" t="s">
        <v>215</v>
      </c>
      <c r="G5632" t="s">
        <v>1118</v>
      </c>
      <c r="H5632" t="s">
        <v>1119</v>
      </c>
      <c r="I5632" t="s">
        <v>1120</v>
      </c>
      <c r="J5632" t="s">
        <v>1121</v>
      </c>
      <c r="K5632" t="s">
        <v>1122</v>
      </c>
      <c r="L5632" t="s">
        <v>1123</v>
      </c>
    </row>
    <row r="5633" spans="1:13" x14ac:dyDescent="0.25">
      <c r="A5633" t="s">
        <v>198</v>
      </c>
      <c r="B5633">
        <v>82</v>
      </c>
      <c r="C5633" t="s">
        <v>197</v>
      </c>
      <c r="D5633">
        <v>2633</v>
      </c>
      <c r="E5633" s="1">
        <v>2.0799999999999999E-2</v>
      </c>
      <c r="G5633" s="1">
        <v>4.1599999999999998E-2</v>
      </c>
      <c r="H5633" s="1">
        <v>1.0999999999999999E-2</v>
      </c>
      <c r="I5633" s="1">
        <v>1.38E-2</v>
      </c>
      <c r="J5633" s="1">
        <v>1.4999999999999999E-2</v>
      </c>
      <c r="K5633" s="1">
        <v>8.2199999999999995E-2</v>
      </c>
      <c r="L5633" s="1">
        <v>0.81559999999999999</v>
      </c>
    </row>
    <row r="5634" spans="1:13" x14ac:dyDescent="0.25">
      <c r="A5634" t="s">
        <v>198</v>
      </c>
      <c r="B5634">
        <v>368</v>
      </c>
      <c r="C5634" t="s">
        <v>199</v>
      </c>
      <c r="D5634">
        <v>2633</v>
      </c>
      <c r="E5634" s="1">
        <v>1.1999999999999999E-3</v>
      </c>
      <c r="G5634" s="1">
        <v>1.5900000000000001E-2</v>
      </c>
      <c r="H5634" s="1">
        <v>8.6999999999999994E-3</v>
      </c>
      <c r="I5634" s="1">
        <v>2.9899999999999999E-2</v>
      </c>
      <c r="J5634" s="1">
        <v>2E-3</v>
      </c>
      <c r="K5634" s="1">
        <v>4.2799999999999998E-2</v>
      </c>
      <c r="L5634" s="1">
        <v>0.89959999999999996</v>
      </c>
    </row>
    <row r="5635" spans="1:13" x14ac:dyDescent="0.25">
      <c r="A5635" t="s">
        <v>198</v>
      </c>
      <c r="B5635">
        <v>387</v>
      </c>
      <c r="C5635" t="s">
        <v>200</v>
      </c>
      <c r="D5635">
        <v>2633</v>
      </c>
      <c r="G5635" s="1">
        <v>3.09E-2</v>
      </c>
      <c r="H5635" s="1">
        <v>2.2000000000000001E-3</v>
      </c>
      <c r="I5635" s="1">
        <v>1.4E-2</v>
      </c>
      <c r="J5635" s="1">
        <v>1.09E-2</v>
      </c>
      <c r="K5635" s="1">
        <v>3.1600000000000003E-2</v>
      </c>
      <c r="L5635" s="1">
        <v>0.9103</v>
      </c>
    </row>
    <row r="5636" spans="1:13" x14ac:dyDescent="0.25">
      <c r="A5636" t="s">
        <v>198</v>
      </c>
      <c r="B5636">
        <v>256</v>
      </c>
      <c r="C5636" t="s">
        <v>201</v>
      </c>
      <c r="D5636">
        <v>2633</v>
      </c>
      <c r="E5636" s="1">
        <v>9.2999999999999992E-3</v>
      </c>
      <c r="G5636" s="1">
        <v>1.8499999999999999E-2</v>
      </c>
      <c r="H5636" s="1">
        <v>1.1999999999999999E-3</v>
      </c>
      <c r="I5636" s="1">
        <v>5.7700000000000001E-2</v>
      </c>
      <c r="J5636" s="1">
        <v>6.9999999999999999E-4</v>
      </c>
      <c r="K5636" s="1">
        <v>6.3600000000000004E-2</v>
      </c>
      <c r="L5636" s="1">
        <v>0.84899999999999998</v>
      </c>
    </row>
    <row r="5637" spans="1:13" x14ac:dyDescent="0.25">
      <c r="A5637" t="s">
        <v>198</v>
      </c>
      <c r="B5637">
        <v>96</v>
      </c>
      <c r="C5637" t="s">
        <v>202</v>
      </c>
      <c r="D5637">
        <v>2633</v>
      </c>
      <c r="G5637" s="1">
        <v>4.2900000000000001E-2</v>
      </c>
      <c r="H5637" s="1">
        <v>1.7500000000000002E-2</v>
      </c>
      <c r="I5637" s="1">
        <v>2.52E-2</v>
      </c>
      <c r="K5637" s="1">
        <v>6.6400000000000001E-2</v>
      </c>
      <c r="L5637" s="1">
        <v>0.84799999999999998</v>
      </c>
    </row>
    <row r="5638" spans="1:13" x14ac:dyDescent="0.25">
      <c r="A5638" t="s">
        <v>203</v>
      </c>
      <c r="B5638">
        <v>530</v>
      </c>
      <c r="C5638" t="s">
        <v>199</v>
      </c>
      <c r="D5638">
        <v>2633</v>
      </c>
      <c r="E5638" s="1">
        <v>5.9999999999999995E-4</v>
      </c>
      <c r="G5638" s="1">
        <v>5.1999999999999998E-3</v>
      </c>
      <c r="H5638" s="1">
        <v>5.9999999999999995E-4</v>
      </c>
      <c r="I5638" s="1">
        <v>1.9699999999999999E-2</v>
      </c>
      <c r="J5638" s="1">
        <v>3.0999999999999999E-3</v>
      </c>
      <c r="K5638" s="1">
        <v>2.01E-2</v>
      </c>
      <c r="L5638" s="1">
        <v>0.95079999999999998</v>
      </c>
    </row>
    <row r="5639" spans="1:13" x14ac:dyDescent="0.25">
      <c r="A5639" t="s">
        <v>203</v>
      </c>
      <c r="B5639">
        <v>503</v>
      </c>
      <c r="C5639" t="s">
        <v>200</v>
      </c>
      <c r="D5639">
        <v>2633</v>
      </c>
      <c r="G5639" s="1">
        <v>7.7999999999999996E-3</v>
      </c>
      <c r="H5639" s="1">
        <v>1.4E-3</v>
      </c>
      <c r="I5639" s="1">
        <v>9.7999999999999997E-3</v>
      </c>
      <c r="J5639" s="1">
        <v>2.7000000000000001E-3</v>
      </c>
      <c r="K5639" s="1">
        <v>2.5899999999999999E-2</v>
      </c>
      <c r="L5639" s="1">
        <v>0.95230000000000004</v>
      </c>
    </row>
    <row r="5640" spans="1:13" x14ac:dyDescent="0.25">
      <c r="A5640" t="s">
        <v>203</v>
      </c>
      <c r="B5640">
        <v>321</v>
      </c>
      <c r="C5640" t="s">
        <v>201</v>
      </c>
      <c r="D5640">
        <v>2633</v>
      </c>
      <c r="G5640" s="1">
        <v>3.7699999999999997E-2</v>
      </c>
      <c r="H5640" s="1">
        <v>2.0000000000000001E-4</v>
      </c>
      <c r="I5640" s="1">
        <v>4.2799999999999998E-2</v>
      </c>
      <c r="J5640" s="1">
        <v>4.4000000000000003E-3</v>
      </c>
      <c r="K5640" s="1">
        <v>0.1255</v>
      </c>
      <c r="L5640" s="1">
        <v>0.78939999999999999</v>
      </c>
    </row>
    <row r="5641" spans="1:13" x14ac:dyDescent="0.25">
      <c r="A5641" t="s">
        <v>203</v>
      </c>
      <c r="B5641">
        <v>90</v>
      </c>
      <c r="C5641" t="s">
        <v>202</v>
      </c>
      <c r="D5641">
        <v>2633</v>
      </c>
      <c r="F5641" s="1">
        <v>9.9000000000000008E-3</v>
      </c>
      <c r="H5641" s="1">
        <v>5.8999999999999999E-3</v>
      </c>
      <c r="I5641" s="1">
        <v>4.4299999999999999E-2</v>
      </c>
      <c r="J5641" s="1">
        <v>8.8000000000000005E-3</v>
      </c>
      <c r="K5641" s="1">
        <v>3.9699999999999999E-2</v>
      </c>
      <c r="L5641" s="1">
        <v>0.89139999999999997</v>
      </c>
    </row>
    <row r="5642" spans="1:13" x14ac:dyDescent="0.25">
      <c r="A5642" t="s">
        <v>204</v>
      </c>
      <c r="B5642">
        <v>2633</v>
      </c>
      <c r="C5642" t="s">
        <v>204</v>
      </c>
      <c r="D5642">
        <v>2633</v>
      </c>
      <c r="E5642" s="1">
        <v>2E-3</v>
      </c>
      <c r="F5642" s="1">
        <v>5.0000000000000001E-4</v>
      </c>
      <c r="G5642" s="1">
        <v>1.8599999999999998E-2</v>
      </c>
      <c r="H5642" s="1">
        <v>4.5999999999999999E-3</v>
      </c>
      <c r="I5642" s="1">
        <v>2.1600000000000001E-2</v>
      </c>
      <c r="J5642" s="1">
        <v>4.4999999999999997E-3</v>
      </c>
      <c r="K5642" s="1">
        <v>4.3299999999999998E-2</v>
      </c>
      <c r="L5642" s="1">
        <v>0.90480000000000005</v>
      </c>
    </row>
    <row r="5644" spans="1:13" x14ac:dyDescent="0.25">
      <c r="A5644" t="s">
        <v>1124</v>
      </c>
    </row>
    <row r="5645" spans="1:13" x14ac:dyDescent="0.25">
      <c r="A5645" t="s">
        <v>190</v>
      </c>
      <c r="B5645" t="s">
        <v>206</v>
      </c>
      <c r="C5645" t="s">
        <v>195</v>
      </c>
      <c r="D5645" t="s">
        <v>189</v>
      </c>
      <c r="E5645" t="s">
        <v>196</v>
      </c>
      <c r="F5645" t="s">
        <v>220</v>
      </c>
      <c r="G5645" t="s">
        <v>215</v>
      </c>
      <c r="H5645" t="s">
        <v>1118</v>
      </c>
      <c r="I5645" t="s">
        <v>1119</v>
      </c>
      <c r="J5645" t="s">
        <v>1120</v>
      </c>
      <c r="K5645" t="s">
        <v>1121</v>
      </c>
      <c r="L5645" t="s">
        <v>1122</v>
      </c>
      <c r="M5645" t="s">
        <v>1123</v>
      </c>
    </row>
    <row r="5646" spans="1:13" x14ac:dyDescent="0.25">
      <c r="A5646" t="s">
        <v>198</v>
      </c>
      <c r="B5646" t="s">
        <v>228</v>
      </c>
      <c r="C5646">
        <v>33</v>
      </c>
      <c r="D5646" t="s">
        <v>197</v>
      </c>
      <c r="E5646">
        <v>2633</v>
      </c>
      <c r="F5646" s="1">
        <v>4.82E-2</v>
      </c>
      <c r="H5646" s="1">
        <v>9.64E-2</v>
      </c>
      <c r="I5646" s="1">
        <v>2.5600000000000001E-2</v>
      </c>
      <c r="J5646" s="1">
        <v>3.1800000000000002E-2</v>
      </c>
      <c r="K5646" s="1">
        <v>3.4700000000000002E-2</v>
      </c>
      <c r="L5646" s="1">
        <v>0.13919999999999999</v>
      </c>
      <c r="M5646" s="1">
        <v>0.62419999999999998</v>
      </c>
    </row>
    <row r="5647" spans="1:13" x14ac:dyDescent="0.25">
      <c r="A5647" t="s">
        <v>198</v>
      </c>
      <c r="B5647" t="s">
        <v>229</v>
      </c>
      <c r="C5647">
        <v>49</v>
      </c>
      <c r="D5647" t="s">
        <v>197</v>
      </c>
      <c r="E5647">
        <v>2633</v>
      </c>
      <c r="L5647" s="1">
        <v>3.8800000000000001E-2</v>
      </c>
      <c r="M5647" s="1">
        <v>0.96120000000000005</v>
      </c>
    </row>
    <row r="5648" spans="1:13" x14ac:dyDescent="0.25">
      <c r="A5648" t="s">
        <v>198</v>
      </c>
      <c r="B5648" t="s">
        <v>228</v>
      </c>
      <c r="C5648">
        <v>145</v>
      </c>
      <c r="D5648" t="s">
        <v>199</v>
      </c>
      <c r="E5648">
        <v>2633</v>
      </c>
      <c r="F5648" s="1">
        <v>4.4999999999999997E-3</v>
      </c>
      <c r="H5648" s="1">
        <v>3.39E-2</v>
      </c>
      <c r="I5648" s="1">
        <v>3.3799999999999997E-2</v>
      </c>
      <c r="J5648" s="1">
        <v>0.1116</v>
      </c>
      <c r="K5648" s="1">
        <v>2.0999999999999999E-3</v>
      </c>
      <c r="L5648" s="1">
        <v>0.14760000000000001</v>
      </c>
      <c r="M5648" s="1">
        <v>0.66659999999999997</v>
      </c>
    </row>
    <row r="5649" spans="1:13" x14ac:dyDescent="0.25">
      <c r="A5649" t="s">
        <v>198</v>
      </c>
      <c r="B5649" t="s">
        <v>229</v>
      </c>
      <c r="C5649">
        <v>213</v>
      </c>
      <c r="D5649" t="s">
        <v>199</v>
      </c>
      <c r="E5649">
        <v>2633</v>
      </c>
      <c r="H5649" s="1">
        <v>9.7000000000000003E-3</v>
      </c>
      <c r="K5649" s="1">
        <v>2E-3</v>
      </c>
      <c r="L5649" s="1">
        <v>6.7000000000000002E-3</v>
      </c>
      <c r="M5649" s="1">
        <v>0.98150000000000004</v>
      </c>
    </row>
    <row r="5650" spans="1:13" x14ac:dyDescent="0.25">
      <c r="A5650" t="s">
        <v>198</v>
      </c>
      <c r="B5650" t="s">
        <v>229</v>
      </c>
      <c r="C5650">
        <v>270</v>
      </c>
      <c r="D5650" t="s">
        <v>200</v>
      </c>
      <c r="E5650">
        <v>2633</v>
      </c>
      <c r="H5650" s="1">
        <v>8.2000000000000007E-3</v>
      </c>
      <c r="I5650" s="1">
        <v>8.0000000000000004E-4</v>
      </c>
      <c r="J5650" s="1">
        <v>1.9E-3</v>
      </c>
      <c r="K5650" s="1">
        <v>1.21E-2</v>
      </c>
      <c r="L5650" s="1">
        <v>7.9000000000000008E-3</v>
      </c>
      <c r="M5650" s="1">
        <v>0.96909999999999996</v>
      </c>
    </row>
    <row r="5651" spans="1:13" x14ac:dyDescent="0.25">
      <c r="A5651" t="s">
        <v>198</v>
      </c>
      <c r="B5651" t="s">
        <v>228</v>
      </c>
      <c r="C5651">
        <v>112</v>
      </c>
      <c r="D5651" t="s">
        <v>200</v>
      </c>
      <c r="E5651">
        <v>2633</v>
      </c>
      <c r="H5651" s="1">
        <v>0.1066</v>
      </c>
      <c r="I5651" s="1">
        <v>6.8999999999999999E-3</v>
      </c>
      <c r="J5651" s="1">
        <v>5.4199999999999998E-2</v>
      </c>
      <c r="K5651" s="1">
        <v>7.4999999999999997E-3</v>
      </c>
      <c r="L5651" s="1">
        <v>0.1104</v>
      </c>
      <c r="M5651" s="1">
        <v>0.71450000000000002</v>
      </c>
    </row>
    <row r="5652" spans="1:13" x14ac:dyDescent="0.25">
      <c r="A5652" t="s">
        <v>198</v>
      </c>
      <c r="B5652" t="s">
        <v>228</v>
      </c>
      <c r="C5652">
        <v>95</v>
      </c>
      <c r="D5652" t="s">
        <v>201</v>
      </c>
      <c r="E5652">
        <v>2633</v>
      </c>
      <c r="H5652" s="1">
        <v>2.8299999999999999E-2</v>
      </c>
      <c r="J5652" s="1">
        <v>0.217</v>
      </c>
      <c r="L5652" s="1">
        <v>0.1855</v>
      </c>
      <c r="M5652" s="1">
        <v>0.56910000000000005</v>
      </c>
    </row>
    <row r="5653" spans="1:13" x14ac:dyDescent="0.25">
      <c r="A5653" t="s">
        <v>198</v>
      </c>
      <c r="B5653" t="s">
        <v>229</v>
      </c>
      <c r="C5653">
        <v>155</v>
      </c>
      <c r="D5653" t="s">
        <v>201</v>
      </c>
      <c r="E5653">
        <v>2633</v>
      </c>
      <c r="F5653" s="1">
        <v>1.2E-2</v>
      </c>
      <c r="H5653" s="1">
        <v>1.4800000000000001E-2</v>
      </c>
      <c r="I5653" s="1">
        <v>1.6000000000000001E-3</v>
      </c>
      <c r="J5653" s="1">
        <v>1.4800000000000001E-2</v>
      </c>
      <c r="K5653" s="1">
        <v>8.9999999999999998E-4</v>
      </c>
      <c r="L5653" s="1">
        <v>3.0200000000000001E-2</v>
      </c>
      <c r="M5653" s="1">
        <v>0.92569999999999997</v>
      </c>
    </row>
    <row r="5654" spans="1:13" s="29" customFormat="1" x14ac:dyDescent="0.25">
      <c r="A5654" s="29" t="s">
        <v>198</v>
      </c>
      <c r="B5654" s="29" t="s">
        <v>228</v>
      </c>
      <c r="C5654" s="29">
        <v>28</v>
      </c>
      <c r="D5654" s="29" t="s">
        <v>202</v>
      </c>
      <c r="E5654" s="29">
        <v>2633</v>
      </c>
      <c r="H5654" s="30">
        <v>0.18129999999999999</v>
      </c>
      <c r="I5654" s="30">
        <v>7.3999999999999996E-2</v>
      </c>
      <c r="J5654" s="30">
        <v>0.1067</v>
      </c>
      <c r="L5654" s="30">
        <v>0.22989999999999999</v>
      </c>
      <c r="M5654" s="30">
        <v>0.40799999999999997</v>
      </c>
    </row>
    <row r="5655" spans="1:13" x14ac:dyDescent="0.25">
      <c r="A5655" t="s">
        <v>198</v>
      </c>
      <c r="B5655" t="s">
        <v>229</v>
      </c>
      <c r="C5655">
        <v>68</v>
      </c>
      <c r="D5655" t="s">
        <v>202</v>
      </c>
      <c r="E5655">
        <v>2633</v>
      </c>
      <c r="L5655" s="1">
        <v>1.5800000000000002E-2</v>
      </c>
      <c r="M5655" s="1">
        <v>0.98419999999999996</v>
      </c>
    </row>
    <row r="5656" spans="1:13" x14ac:dyDescent="0.25">
      <c r="A5656" t="s">
        <v>203</v>
      </c>
      <c r="B5656" t="s">
        <v>229</v>
      </c>
      <c r="C5656">
        <v>370</v>
      </c>
      <c r="D5656" t="s">
        <v>199</v>
      </c>
      <c r="E5656">
        <v>2633</v>
      </c>
      <c r="J5656" s="1">
        <v>4.1999999999999997E-3</v>
      </c>
      <c r="K5656" s="1">
        <v>1.1000000000000001E-3</v>
      </c>
      <c r="L5656" s="1">
        <v>1.15E-2</v>
      </c>
      <c r="M5656" s="1">
        <v>0.98319999999999996</v>
      </c>
    </row>
    <row r="5657" spans="1:13" x14ac:dyDescent="0.25">
      <c r="A5657" t="s">
        <v>203</v>
      </c>
      <c r="B5657" t="s">
        <v>228</v>
      </c>
      <c r="C5657">
        <v>150</v>
      </c>
      <c r="D5657" t="s">
        <v>199</v>
      </c>
      <c r="E5657">
        <v>2633</v>
      </c>
      <c r="F5657" s="1">
        <v>5.4000000000000003E-3</v>
      </c>
      <c r="H5657" s="1">
        <v>4.9099999999999998E-2</v>
      </c>
      <c r="I5657" s="1">
        <v>5.7999999999999996E-3</v>
      </c>
      <c r="J5657" s="1">
        <v>0.1522</v>
      </c>
      <c r="K5657" s="1">
        <v>2.01E-2</v>
      </c>
      <c r="L5657" s="1">
        <v>8.8499999999999995E-2</v>
      </c>
      <c r="M5657" s="1">
        <v>0.67889999999999995</v>
      </c>
    </row>
    <row r="5658" spans="1:13" x14ac:dyDescent="0.25">
      <c r="A5658" t="s">
        <v>203</v>
      </c>
      <c r="B5658" t="s">
        <v>229</v>
      </c>
      <c r="C5658">
        <v>347</v>
      </c>
      <c r="D5658" t="s">
        <v>200</v>
      </c>
      <c r="E5658">
        <v>2633</v>
      </c>
      <c r="H5658" s="1">
        <v>2.0999999999999999E-3</v>
      </c>
      <c r="I5658" s="1">
        <v>1E-4</v>
      </c>
      <c r="J5658" s="1">
        <v>1.6999999999999999E-3</v>
      </c>
      <c r="K5658" s="1">
        <v>2.8E-3</v>
      </c>
      <c r="L5658" s="1">
        <v>8.6E-3</v>
      </c>
      <c r="M5658" s="1">
        <v>0.98470000000000002</v>
      </c>
    </row>
    <row r="5659" spans="1:13" x14ac:dyDescent="0.25">
      <c r="A5659" t="s">
        <v>203</v>
      </c>
      <c r="B5659" t="s">
        <v>228</v>
      </c>
      <c r="C5659">
        <v>155</v>
      </c>
      <c r="D5659" t="s">
        <v>200</v>
      </c>
      <c r="E5659">
        <v>2633</v>
      </c>
      <c r="H5659" s="1">
        <v>3.1600000000000003E-2</v>
      </c>
      <c r="I5659" s="1">
        <v>7.0000000000000001E-3</v>
      </c>
      <c r="J5659" s="1">
        <v>4.3700000000000003E-2</v>
      </c>
      <c r="K5659" s="1">
        <v>2.0999999999999999E-3</v>
      </c>
      <c r="L5659" s="1">
        <v>9.8199999999999996E-2</v>
      </c>
      <c r="M5659" s="1">
        <v>0.81740000000000002</v>
      </c>
    </row>
    <row r="5660" spans="1:13" x14ac:dyDescent="0.25">
      <c r="A5660" t="s">
        <v>203</v>
      </c>
      <c r="B5660" t="s">
        <v>229</v>
      </c>
      <c r="C5660">
        <v>137</v>
      </c>
      <c r="D5660" t="s">
        <v>201</v>
      </c>
      <c r="E5660">
        <v>2633</v>
      </c>
      <c r="H5660" s="1">
        <v>2.8E-3</v>
      </c>
      <c r="J5660" s="1">
        <v>1.5100000000000001E-2</v>
      </c>
      <c r="L5660" s="1">
        <v>7.3800000000000004E-2</v>
      </c>
      <c r="M5660" s="1">
        <v>0.9083</v>
      </c>
    </row>
    <row r="5661" spans="1:13" x14ac:dyDescent="0.25">
      <c r="A5661" t="s">
        <v>203</v>
      </c>
      <c r="B5661" t="s">
        <v>228</v>
      </c>
      <c r="C5661">
        <v>177</v>
      </c>
      <c r="D5661" t="s">
        <v>201</v>
      </c>
      <c r="E5661">
        <v>2633</v>
      </c>
      <c r="H5661" s="1">
        <v>0.1484</v>
      </c>
      <c r="I5661" s="1">
        <v>8.0000000000000004E-4</v>
      </c>
      <c r="J5661" s="1">
        <v>0.13100000000000001</v>
      </c>
      <c r="K5661" s="1">
        <v>1.35E-2</v>
      </c>
      <c r="L5661" s="1">
        <v>0.28789999999999999</v>
      </c>
      <c r="M5661" s="1">
        <v>0.41839999999999999</v>
      </c>
    </row>
    <row r="5662" spans="1:13" x14ac:dyDescent="0.25">
      <c r="A5662" t="s">
        <v>203</v>
      </c>
      <c r="B5662" t="s">
        <v>228</v>
      </c>
      <c r="C5662">
        <v>34</v>
      </c>
      <c r="D5662" t="s">
        <v>202</v>
      </c>
      <c r="E5662">
        <v>2633</v>
      </c>
      <c r="G5662" s="1">
        <v>3.5000000000000003E-2</v>
      </c>
      <c r="I5662" s="1">
        <v>2.0899999999999998E-2</v>
      </c>
      <c r="J5662" s="1">
        <v>0.1031</v>
      </c>
      <c r="K5662" s="1">
        <v>3.1E-2</v>
      </c>
      <c r="L5662" s="1">
        <v>0.14030000000000001</v>
      </c>
      <c r="M5662" s="1">
        <v>0.66959999999999997</v>
      </c>
    </row>
    <row r="5663" spans="1:13" x14ac:dyDescent="0.25">
      <c r="A5663" t="s">
        <v>203</v>
      </c>
      <c r="B5663" t="s">
        <v>229</v>
      </c>
      <c r="C5663">
        <v>56</v>
      </c>
      <c r="D5663" t="s">
        <v>202</v>
      </c>
      <c r="E5663">
        <v>2633</v>
      </c>
      <c r="J5663" s="1">
        <v>2.12E-2</v>
      </c>
      <c r="M5663" s="1">
        <v>0.9788</v>
      </c>
    </row>
    <row r="5664" spans="1:13" x14ac:dyDescent="0.25">
      <c r="A5664" t="s">
        <v>204</v>
      </c>
      <c r="B5664" t="s">
        <v>204</v>
      </c>
      <c r="C5664">
        <v>2633</v>
      </c>
      <c r="D5664" t="s">
        <v>204</v>
      </c>
      <c r="E5664">
        <v>2633</v>
      </c>
      <c r="F5664" s="1">
        <v>2E-3</v>
      </c>
      <c r="G5664" s="1">
        <v>5.0000000000000001E-4</v>
      </c>
      <c r="H5664" s="1">
        <v>1.8599999999999998E-2</v>
      </c>
      <c r="I5664" s="1">
        <v>4.5999999999999999E-3</v>
      </c>
      <c r="J5664" s="1">
        <v>2.1600000000000001E-2</v>
      </c>
      <c r="K5664" s="1">
        <v>4.4999999999999997E-3</v>
      </c>
      <c r="L5664" s="1">
        <v>4.3299999999999998E-2</v>
      </c>
      <c r="M5664" s="1">
        <v>0.90480000000000005</v>
      </c>
    </row>
    <row r="5666" spans="1:14" x14ac:dyDescent="0.25">
      <c r="A5666" t="s">
        <v>1125</v>
      </c>
    </row>
    <row r="5667" spans="1:14" x14ac:dyDescent="0.25">
      <c r="A5667" t="s">
        <v>190</v>
      </c>
      <c r="B5667" t="s">
        <v>195</v>
      </c>
      <c r="C5667" t="s">
        <v>189</v>
      </c>
      <c r="D5667" t="s">
        <v>196</v>
      </c>
      <c r="E5667" t="s">
        <v>220</v>
      </c>
      <c r="F5667" t="s">
        <v>1126</v>
      </c>
      <c r="G5667" t="s">
        <v>1127</v>
      </c>
      <c r="H5667" t="s">
        <v>215</v>
      </c>
      <c r="I5667" t="s">
        <v>1128</v>
      </c>
      <c r="J5667" t="s">
        <v>1129</v>
      </c>
      <c r="K5667" t="s">
        <v>1130</v>
      </c>
      <c r="L5667" t="s">
        <v>1131</v>
      </c>
      <c r="M5667" t="s">
        <v>1132</v>
      </c>
    </row>
    <row r="5668" spans="1:14" x14ac:dyDescent="0.25">
      <c r="A5668" t="s">
        <v>198</v>
      </c>
      <c r="B5668">
        <v>33</v>
      </c>
      <c r="C5668" t="s">
        <v>197</v>
      </c>
      <c r="D5668">
        <v>1081</v>
      </c>
      <c r="E5668" s="1">
        <v>7.6600000000000001E-2</v>
      </c>
      <c r="F5668" s="1">
        <v>9.3399999999999997E-2</v>
      </c>
      <c r="G5668" s="1">
        <v>0.64229999999999998</v>
      </c>
      <c r="I5668" s="1">
        <v>4.3999999999999997E-2</v>
      </c>
      <c r="K5668" s="1">
        <v>0.14380000000000001</v>
      </c>
    </row>
    <row r="5669" spans="1:14" x14ac:dyDescent="0.25">
      <c r="A5669" t="s">
        <v>198</v>
      </c>
      <c r="B5669">
        <v>151</v>
      </c>
      <c r="C5669" t="s">
        <v>199</v>
      </c>
      <c r="D5669">
        <v>1081</v>
      </c>
      <c r="E5669" s="1">
        <v>9.1000000000000004E-3</v>
      </c>
      <c r="F5669" s="1">
        <v>0.33200000000000002</v>
      </c>
      <c r="G5669" s="1">
        <v>0.49769999999999998</v>
      </c>
      <c r="K5669" s="1">
        <v>0.15620000000000001</v>
      </c>
      <c r="L5669" s="1">
        <v>3.0000000000000001E-3</v>
      </c>
      <c r="M5669" s="1">
        <v>1.9E-3</v>
      </c>
    </row>
    <row r="5670" spans="1:14" x14ac:dyDescent="0.25">
      <c r="A5670" t="s">
        <v>198</v>
      </c>
      <c r="B5670">
        <v>148</v>
      </c>
      <c r="C5670" t="s">
        <v>200</v>
      </c>
      <c r="D5670">
        <v>1081</v>
      </c>
      <c r="E5670" s="1">
        <v>6.4000000000000003E-3</v>
      </c>
      <c r="F5670" s="1">
        <v>0.29559999999999997</v>
      </c>
      <c r="G5670" s="1">
        <v>0.59599999999999997</v>
      </c>
      <c r="I5670" s="1">
        <v>1.6E-2</v>
      </c>
      <c r="J5670" s="1">
        <v>6.7999999999999996E-3</v>
      </c>
      <c r="K5670" s="1">
        <v>7.2700000000000001E-2</v>
      </c>
      <c r="M5670" s="1">
        <v>6.6E-3</v>
      </c>
    </row>
    <row r="5671" spans="1:14" x14ac:dyDescent="0.25">
      <c r="A5671" t="s">
        <v>198</v>
      </c>
      <c r="B5671">
        <v>105</v>
      </c>
      <c r="C5671" t="s">
        <v>201</v>
      </c>
      <c r="D5671">
        <v>1081</v>
      </c>
      <c r="E5671" s="1">
        <v>4.7999999999999996E-3</v>
      </c>
      <c r="F5671" s="1">
        <v>0.25940000000000002</v>
      </c>
      <c r="G5671" s="1">
        <v>0.67120000000000002</v>
      </c>
      <c r="I5671" s="1">
        <v>4.7999999999999996E-3</v>
      </c>
      <c r="K5671" s="1">
        <v>5.2499999999999998E-2</v>
      </c>
      <c r="L5671" s="1">
        <v>4.7999999999999996E-3</v>
      </c>
      <c r="M5671" s="1">
        <v>2.5999999999999999E-3</v>
      </c>
    </row>
    <row r="5672" spans="1:14" s="29" customFormat="1" x14ac:dyDescent="0.25">
      <c r="A5672" s="29" t="s">
        <v>198</v>
      </c>
      <c r="B5672" s="29">
        <v>23</v>
      </c>
      <c r="C5672" s="29" t="s">
        <v>202</v>
      </c>
      <c r="D5672" s="29">
        <v>1081</v>
      </c>
      <c r="E5672" s="30">
        <v>0.1474</v>
      </c>
      <c r="F5672" s="30">
        <v>0.24010000000000001</v>
      </c>
      <c r="G5672" s="30">
        <v>0.53520000000000001</v>
      </c>
      <c r="J5672" s="30">
        <v>1.35E-2</v>
      </c>
      <c r="K5672" s="30">
        <v>5.04E-2</v>
      </c>
      <c r="L5672" s="30">
        <v>1.35E-2</v>
      </c>
    </row>
    <row r="5673" spans="1:14" x14ac:dyDescent="0.25">
      <c r="A5673" t="s">
        <v>203</v>
      </c>
      <c r="B5673">
        <v>216</v>
      </c>
      <c r="C5673" t="s">
        <v>199</v>
      </c>
      <c r="D5673">
        <v>1081</v>
      </c>
      <c r="F5673" s="1">
        <v>0.1502</v>
      </c>
      <c r="G5673" s="1">
        <v>0.72370000000000001</v>
      </c>
      <c r="H5673" s="1">
        <v>2.9999999999999997E-4</v>
      </c>
      <c r="I5673" s="1">
        <v>4.0000000000000001E-3</v>
      </c>
      <c r="J5673" s="1">
        <v>1.8E-3</v>
      </c>
      <c r="K5673" s="1">
        <v>0.1116</v>
      </c>
      <c r="L5673" s="1">
        <v>8.3999999999999995E-3</v>
      </c>
    </row>
    <row r="5674" spans="1:14" x14ac:dyDescent="0.25">
      <c r="A5674" t="s">
        <v>203</v>
      </c>
      <c r="B5674">
        <v>193</v>
      </c>
      <c r="C5674" t="s">
        <v>200</v>
      </c>
      <c r="D5674">
        <v>1081</v>
      </c>
      <c r="F5674" s="1">
        <v>0.1963</v>
      </c>
      <c r="G5674" s="1">
        <v>0.63419999999999999</v>
      </c>
      <c r="I5674" s="1">
        <v>6.5000000000000002E-2</v>
      </c>
      <c r="J5674" s="1">
        <v>2.9999999999999997E-4</v>
      </c>
      <c r="K5674" s="1">
        <v>8.5300000000000001E-2</v>
      </c>
      <c r="M5674" s="1">
        <v>1.89E-2</v>
      </c>
    </row>
    <row r="5675" spans="1:14" x14ac:dyDescent="0.25">
      <c r="A5675" t="s">
        <v>203</v>
      </c>
      <c r="B5675">
        <v>180</v>
      </c>
      <c r="C5675" t="s">
        <v>201</v>
      </c>
      <c r="D5675">
        <v>1081</v>
      </c>
      <c r="E5675" s="1">
        <v>3.3E-3</v>
      </c>
      <c r="F5675" s="1">
        <v>0.1163</v>
      </c>
      <c r="G5675" s="1">
        <v>0.77769999999999995</v>
      </c>
      <c r="I5675" s="1">
        <v>5.9999999999999995E-4</v>
      </c>
      <c r="J5675" s="1">
        <v>1.6000000000000001E-3</v>
      </c>
      <c r="K5675" s="1">
        <v>8.3500000000000005E-2</v>
      </c>
      <c r="L5675" s="1">
        <v>1.6400000000000001E-2</v>
      </c>
      <c r="M5675" s="1">
        <v>5.9999999999999995E-4</v>
      </c>
    </row>
    <row r="5676" spans="1:14" x14ac:dyDescent="0.25">
      <c r="A5676" t="s">
        <v>203</v>
      </c>
      <c r="B5676">
        <v>32</v>
      </c>
      <c r="C5676" t="s">
        <v>202</v>
      </c>
      <c r="D5676">
        <v>1081</v>
      </c>
      <c r="E5676" s="1">
        <v>2.3800000000000002E-2</v>
      </c>
      <c r="F5676" s="1">
        <v>0.1905</v>
      </c>
      <c r="G5676" s="1">
        <v>0.64539999999999997</v>
      </c>
      <c r="I5676" s="1">
        <v>2.3800000000000002E-2</v>
      </c>
      <c r="K5676" s="1">
        <v>5.5300000000000002E-2</v>
      </c>
      <c r="M5676" s="1">
        <v>6.1199999999999997E-2</v>
      </c>
    </row>
    <row r="5677" spans="1:14" x14ac:dyDescent="0.25">
      <c r="A5677" t="s">
        <v>204</v>
      </c>
      <c r="B5677">
        <v>1081</v>
      </c>
      <c r="C5677" t="s">
        <v>204</v>
      </c>
      <c r="D5677">
        <v>1081</v>
      </c>
      <c r="E5677" s="1">
        <v>2.23E-2</v>
      </c>
      <c r="F5677" s="1">
        <v>0.2074</v>
      </c>
      <c r="G5677" s="1">
        <v>0.63119999999999998</v>
      </c>
      <c r="H5677" s="1">
        <v>0</v>
      </c>
      <c r="I5677" s="1">
        <v>2.5499999999999998E-2</v>
      </c>
      <c r="J5677" s="1">
        <v>2.0999999999999999E-3</v>
      </c>
      <c r="K5677" s="1">
        <v>9.8199999999999996E-2</v>
      </c>
      <c r="L5677" s="1">
        <v>4.0000000000000001E-3</v>
      </c>
      <c r="M5677" s="1">
        <v>9.1000000000000004E-3</v>
      </c>
    </row>
    <row r="5679" spans="1:14" x14ac:dyDescent="0.25">
      <c r="A5679" t="s">
        <v>1133</v>
      </c>
    </row>
    <row r="5680" spans="1:14" x14ac:dyDescent="0.25">
      <c r="A5680" t="s">
        <v>190</v>
      </c>
      <c r="B5680" t="s">
        <v>206</v>
      </c>
      <c r="C5680" t="s">
        <v>195</v>
      </c>
      <c r="D5680" t="s">
        <v>189</v>
      </c>
      <c r="E5680" t="s">
        <v>196</v>
      </c>
      <c r="F5680" t="s">
        <v>220</v>
      </c>
      <c r="G5680" t="s">
        <v>1126</v>
      </c>
      <c r="H5680" t="s">
        <v>1127</v>
      </c>
      <c r="I5680" t="s">
        <v>215</v>
      </c>
      <c r="J5680" t="s">
        <v>1128</v>
      </c>
      <c r="K5680" t="s">
        <v>1129</v>
      </c>
      <c r="L5680" t="s">
        <v>1130</v>
      </c>
      <c r="M5680" t="s">
        <v>1131</v>
      </c>
      <c r="N5680" t="s">
        <v>1132</v>
      </c>
    </row>
    <row r="5681" spans="1:14" s="29" customFormat="1" x14ac:dyDescent="0.25">
      <c r="A5681" s="29" t="s">
        <v>198</v>
      </c>
      <c r="B5681" s="29" t="s">
        <v>228</v>
      </c>
      <c r="C5681" s="29">
        <v>24</v>
      </c>
      <c r="D5681" s="29" t="s">
        <v>197</v>
      </c>
      <c r="E5681" s="29">
        <v>1081</v>
      </c>
      <c r="F5681" s="30">
        <v>3.5499999999999997E-2</v>
      </c>
      <c r="G5681" s="30">
        <v>0.12640000000000001</v>
      </c>
      <c r="H5681" s="30">
        <v>0.65090000000000003</v>
      </c>
      <c r="J5681" s="30">
        <v>5.9499999999999997E-2</v>
      </c>
      <c r="L5681" s="30">
        <v>0.1278</v>
      </c>
    </row>
    <row r="5682" spans="1:14" s="29" customFormat="1" x14ac:dyDescent="0.25">
      <c r="A5682" s="29" t="s">
        <v>198</v>
      </c>
      <c r="B5682" s="29" t="s">
        <v>229</v>
      </c>
      <c r="C5682" s="29">
        <v>9</v>
      </c>
      <c r="D5682" s="29" t="s">
        <v>197</v>
      </c>
      <c r="E5682" s="29">
        <v>1081</v>
      </c>
      <c r="F5682" s="30">
        <v>0.19289999999999999</v>
      </c>
      <c r="H5682" s="30">
        <v>0.61809999999999998</v>
      </c>
      <c r="L5682" s="30">
        <v>0.189</v>
      </c>
    </row>
    <row r="5683" spans="1:14" x14ac:dyDescent="0.25">
      <c r="A5683" t="s">
        <v>198</v>
      </c>
      <c r="B5683" t="s">
        <v>228</v>
      </c>
      <c r="C5683">
        <v>95</v>
      </c>
      <c r="D5683" t="s">
        <v>199</v>
      </c>
      <c r="E5683">
        <v>1081</v>
      </c>
      <c r="F5683" s="1">
        <v>1.49E-2</v>
      </c>
      <c r="G5683" s="1">
        <v>0.4637</v>
      </c>
      <c r="H5683" s="1">
        <v>0.39050000000000001</v>
      </c>
      <c r="L5683" s="1">
        <v>0.123</v>
      </c>
      <c r="M5683" s="1">
        <v>4.7999999999999996E-3</v>
      </c>
      <c r="N5683" s="1">
        <v>3.0999999999999999E-3</v>
      </c>
    </row>
    <row r="5684" spans="1:14" x14ac:dyDescent="0.25">
      <c r="A5684" t="s">
        <v>198</v>
      </c>
      <c r="B5684" t="s">
        <v>229</v>
      </c>
      <c r="C5684">
        <v>50</v>
      </c>
      <c r="D5684" t="s">
        <v>199</v>
      </c>
      <c r="E5684">
        <v>1081</v>
      </c>
      <c r="G5684" s="1">
        <v>0.1275</v>
      </c>
      <c r="H5684" s="1">
        <v>0.65939999999999999</v>
      </c>
      <c r="L5684" s="1">
        <v>0.21310000000000001</v>
      </c>
    </row>
    <row r="5685" spans="1:14" x14ac:dyDescent="0.25">
      <c r="A5685" t="s">
        <v>198</v>
      </c>
      <c r="B5685" t="s">
        <v>229</v>
      </c>
      <c r="C5685">
        <v>66</v>
      </c>
      <c r="D5685" t="s">
        <v>200</v>
      </c>
      <c r="E5685">
        <v>1081</v>
      </c>
      <c r="F5685" s="1">
        <v>1.06E-2</v>
      </c>
      <c r="G5685" s="1">
        <v>0.2382</v>
      </c>
      <c r="H5685" s="1">
        <v>0.61509999999999998</v>
      </c>
      <c r="J5685" s="1">
        <v>1.0200000000000001E-2</v>
      </c>
      <c r="L5685" s="1">
        <v>0.12590000000000001</v>
      </c>
    </row>
    <row r="5686" spans="1:14" x14ac:dyDescent="0.25">
      <c r="A5686" t="s">
        <v>198</v>
      </c>
      <c r="B5686" t="s">
        <v>228</v>
      </c>
      <c r="C5686">
        <v>80</v>
      </c>
      <c r="D5686" t="s">
        <v>200</v>
      </c>
      <c r="E5686">
        <v>1081</v>
      </c>
      <c r="F5686" s="1">
        <v>4.4000000000000003E-3</v>
      </c>
      <c r="G5686" s="1">
        <v>0.32329999999999998</v>
      </c>
      <c r="H5686" s="1">
        <v>0.58640000000000003</v>
      </c>
      <c r="J5686" s="1">
        <v>1.8700000000000001E-2</v>
      </c>
      <c r="K5686" s="1">
        <v>0.01</v>
      </c>
      <c r="L5686" s="1">
        <v>4.7500000000000001E-2</v>
      </c>
      <c r="N5686" s="1">
        <v>9.7000000000000003E-3</v>
      </c>
    </row>
    <row r="5687" spans="1:14" x14ac:dyDescent="0.25">
      <c r="A5687" t="s">
        <v>198</v>
      </c>
      <c r="B5687" t="s">
        <v>228</v>
      </c>
      <c r="C5687">
        <v>67</v>
      </c>
      <c r="D5687" t="s">
        <v>201</v>
      </c>
      <c r="E5687">
        <v>1081</v>
      </c>
      <c r="F5687" s="1">
        <v>9.4999999999999998E-3</v>
      </c>
      <c r="G5687" s="1">
        <v>0.27600000000000002</v>
      </c>
      <c r="H5687" s="1">
        <v>0.62519999999999998</v>
      </c>
      <c r="J5687" s="1">
        <v>9.4999999999999998E-3</v>
      </c>
      <c r="L5687" s="1">
        <v>7.0300000000000001E-2</v>
      </c>
      <c r="M5687" s="1">
        <v>9.4999999999999998E-3</v>
      </c>
    </row>
    <row r="5688" spans="1:14" x14ac:dyDescent="0.25">
      <c r="A5688" t="s">
        <v>198</v>
      </c>
      <c r="B5688" t="s">
        <v>229</v>
      </c>
      <c r="C5688">
        <v>35</v>
      </c>
      <c r="D5688" t="s">
        <v>201</v>
      </c>
      <c r="E5688">
        <v>1081</v>
      </c>
      <c r="G5688" s="1">
        <v>0.24510000000000001</v>
      </c>
      <c r="H5688" s="1">
        <v>0.71479999999999999</v>
      </c>
      <c r="L5688" s="1">
        <v>3.49E-2</v>
      </c>
      <c r="N5688" s="1">
        <v>5.1999999999999998E-3</v>
      </c>
    </row>
    <row r="5689" spans="1:14" s="29" customFormat="1" x14ac:dyDescent="0.25">
      <c r="A5689" s="29" t="s">
        <v>198</v>
      </c>
      <c r="B5689" s="29" t="s">
        <v>228</v>
      </c>
      <c r="C5689" s="29">
        <v>13</v>
      </c>
      <c r="D5689" s="29" t="s">
        <v>202</v>
      </c>
      <c r="E5689" s="29">
        <v>1081</v>
      </c>
      <c r="F5689" s="30">
        <v>0.21970000000000001</v>
      </c>
      <c r="G5689" s="30">
        <v>0.25459999999999999</v>
      </c>
      <c r="H5689" s="30">
        <v>0.42099999999999999</v>
      </c>
      <c r="L5689" s="30">
        <v>8.2600000000000007E-2</v>
      </c>
      <c r="M5689" s="30">
        <v>2.2100000000000002E-2</v>
      </c>
    </row>
    <row r="5690" spans="1:14" s="29" customFormat="1" x14ac:dyDescent="0.25">
      <c r="A5690" s="29" t="s">
        <v>198</v>
      </c>
      <c r="B5690" s="29" t="s">
        <v>229</v>
      </c>
      <c r="C5690" s="29">
        <v>10</v>
      </c>
      <c r="D5690" s="29" t="s">
        <v>202</v>
      </c>
      <c r="E5690" s="29">
        <v>1081</v>
      </c>
      <c r="F5690" s="30">
        <v>3.4500000000000003E-2</v>
      </c>
      <c r="G5690" s="30">
        <v>0.21759999999999999</v>
      </c>
      <c r="H5690" s="30">
        <v>0.71340000000000003</v>
      </c>
      <c r="K5690" s="30">
        <v>3.4500000000000003E-2</v>
      </c>
    </row>
    <row r="5691" spans="1:14" x14ac:dyDescent="0.25">
      <c r="A5691" t="s">
        <v>203</v>
      </c>
      <c r="B5691" t="s">
        <v>229</v>
      </c>
      <c r="C5691">
        <v>111</v>
      </c>
      <c r="D5691" t="s">
        <v>199</v>
      </c>
      <c r="E5691">
        <v>1081</v>
      </c>
      <c r="G5691" s="1">
        <v>0.1104</v>
      </c>
      <c r="H5691" s="1">
        <v>0.76270000000000004</v>
      </c>
      <c r="I5691" s="1">
        <v>5.0000000000000001E-4</v>
      </c>
      <c r="J5691" s="1">
        <v>5.5999999999999999E-3</v>
      </c>
      <c r="K5691" s="1">
        <v>2.5999999999999999E-3</v>
      </c>
      <c r="L5691" s="1">
        <v>0.11559999999999999</v>
      </c>
      <c r="M5691" s="1">
        <v>2.7000000000000001E-3</v>
      </c>
    </row>
    <row r="5692" spans="1:14" x14ac:dyDescent="0.25">
      <c r="A5692" t="s">
        <v>203</v>
      </c>
      <c r="B5692" t="s">
        <v>228</v>
      </c>
      <c r="C5692">
        <v>100</v>
      </c>
      <c r="D5692" t="s">
        <v>199</v>
      </c>
      <c r="E5692">
        <v>1081</v>
      </c>
      <c r="G5692" s="1">
        <v>0.2384</v>
      </c>
      <c r="H5692" s="1">
        <v>0.63360000000000005</v>
      </c>
      <c r="L5692" s="1">
        <v>0.1045</v>
      </c>
      <c r="M5692" s="1">
        <v>2.35E-2</v>
      </c>
    </row>
    <row r="5693" spans="1:14" x14ac:dyDescent="0.25">
      <c r="A5693" t="s">
        <v>203</v>
      </c>
      <c r="B5693" t="s">
        <v>229</v>
      </c>
      <c r="C5693">
        <v>83</v>
      </c>
      <c r="D5693" t="s">
        <v>200</v>
      </c>
      <c r="E5693">
        <v>1081</v>
      </c>
      <c r="G5693" s="1">
        <v>0.1027</v>
      </c>
      <c r="H5693" s="1">
        <v>0.65459999999999996</v>
      </c>
      <c r="J5693" s="1">
        <v>0.1004</v>
      </c>
      <c r="K5693" s="1">
        <v>6.9999999999999999E-4</v>
      </c>
      <c r="L5693" s="1">
        <v>0.1416</v>
      </c>
    </row>
    <row r="5694" spans="1:14" x14ac:dyDescent="0.25">
      <c r="A5694" t="s">
        <v>203</v>
      </c>
      <c r="B5694" t="s">
        <v>228</v>
      </c>
      <c r="C5694">
        <v>110</v>
      </c>
      <c r="D5694" t="s">
        <v>200</v>
      </c>
      <c r="E5694">
        <v>1081</v>
      </c>
      <c r="G5694" s="1">
        <v>0.26400000000000001</v>
      </c>
      <c r="H5694" s="1">
        <v>0.61950000000000005</v>
      </c>
      <c r="J5694" s="1">
        <v>3.9300000000000002E-2</v>
      </c>
      <c r="L5694" s="1">
        <v>4.4600000000000001E-2</v>
      </c>
      <c r="N5694" s="1">
        <v>3.2500000000000001E-2</v>
      </c>
    </row>
    <row r="5695" spans="1:14" x14ac:dyDescent="0.25">
      <c r="A5695" t="s">
        <v>203</v>
      </c>
      <c r="B5695" t="s">
        <v>229</v>
      </c>
      <c r="C5695">
        <v>45</v>
      </c>
      <c r="D5695" t="s">
        <v>201</v>
      </c>
      <c r="E5695">
        <v>1081</v>
      </c>
      <c r="F5695" s="1">
        <v>6.8999999999999999E-3</v>
      </c>
      <c r="G5695" s="1">
        <v>9.3600000000000003E-2</v>
      </c>
      <c r="H5695" s="1">
        <v>0.79710000000000003</v>
      </c>
      <c r="L5695" s="1">
        <v>0.10249999999999999</v>
      </c>
    </row>
    <row r="5696" spans="1:14" x14ac:dyDescent="0.25">
      <c r="A5696" t="s">
        <v>203</v>
      </c>
      <c r="B5696" t="s">
        <v>228</v>
      </c>
      <c r="C5696">
        <v>131</v>
      </c>
      <c r="D5696" t="s">
        <v>201</v>
      </c>
      <c r="E5696">
        <v>1081</v>
      </c>
      <c r="G5696" s="1">
        <v>0.13819999999999999</v>
      </c>
      <c r="H5696" s="1">
        <v>0.75849999999999995</v>
      </c>
      <c r="J5696" s="1">
        <v>1.1000000000000001E-3</v>
      </c>
      <c r="K5696" s="1">
        <v>3.2000000000000002E-3</v>
      </c>
      <c r="L5696" s="1">
        <v>6.6000000000000003E-2</v>
      </c>
      <c r="M5696" s="1">
        <v>3.1899999999999998E-2</v>
      </c>
      <c r="N5696" s="1">
        <v>1.1000000000000001E-3</v>
      </c>
    </row>
    <row r="5697" spans="1:14" s="29" customFormat="1" x14ac:dyDescent="0.25">
      <c r="A5697" s="29" t="s">
        <v>203</v>
      </c>
      <c r="B5697" s="29" t="s">
        <v>228</v>
      </c>
      <c r="C5697" s="29">
        <v>25</v>
      </c>
      <c r="D5697" s="29" t="s">
        <v>202</v>
      </c>
      <c r="E5697" s="29">
        <v>1081</v>
      </c>
      <c r="G5697" s="30">
        <v>0.24859999999999999</v>
      </c>
      <c r="H5697" s="30">
        <v>0.62549999999999994</v>
      </c>
      <c r="L5697" s="30">
        <v>4.6100000000000002E-2</v>
      </c>
      <c r="N5697" s="30">
        <v>7.9799999999999996E-2</v>
      </c>
    </row>
    <row r="5698" spans="1:14" s="29" customFormat="1" x14ac:dyDescent="0.25">
      <c r="A5698" s="29" t="s">
        <v>203</v>
      </c>
      <c r="B5698" s="29" t="s">
        <v>229</v>
      </c>
      <c r="C5698" s="29">
        <v>7</v>
      </c>
      <c r="D5698" s="29" t="s">
        <v>202</v>
      </c>
      <c r="E5698" s="29">
        <v>1081</v>
      </c>
      <c r="F5698" s="30">
        <v>0.10199999999999999</v>
      </c>
      <c r="H5698" s="30">
        <v>0.71079999999999999</v>
      </c>
      <c r="J5698" s="30">
        <v>0.10199999999999999</v>
      </c>
      <c r="L5698" s="30">
        <v>8.5300000000000001E-2</v>
      </c>
    </row>
    <row r="5699" spans="1:14" x14ac:dyDescent="0.25">
      <c r="A5699" t="s">
        <v>204</v>
      </c>
      <c r="B5699" t="s">
        <v>204</v>
      </c>
      <c r="C5699">
        <v>1081</v>
      </c>
      <c r="D5699" t="s">
        <v>204</v>
      </c>
      <c r="E5699">
        <v>1081</v>
      </c>
      <c r="F5699" s="1">
        <v>2.23E-2</v>
      </c>
      <c r="G5699" s="1">
        <v>0.2074</v>
      </c>
      <c r="H5699" s="1">
        <v>0.63119999999999998</v>
      </c>
      <c r="I5699" s="1">
        <v>0</v>
      </c>
      <c r="J5699" s="1">
        <v>2.5499999999999998E-2</v>
      </c>
      <c r="K5699" s="1">
        <v>2.0999999999999999E-3</v>
      </c>
      <c r="L5699" s="1">
        <v>9.8199999999999996E-2</v>
      </c>
      <c r="M5699" s="1">
        <v>4.0000000000000001E-3</v>
      </c>
      <c r="N5699" s="1">
        <v>9.1000000000000004E-3</v>
      </c>
    </row>
    <row r="5701" spans="1:14" x14ac:dyDescent="0.25">
      <c r="A5701" t="s">
        <v>1134</v>
      </c>
    </row>
    <row r="5702" spans="1:14" x14ac:dyDescent="0.25">
      <c r="A5702" t="s">
        <v>190</v>
      </c>
      <c r="B5702" t="s">
        <v>195</v>
      </c>
      <c r="C5702" t="s">
        <v>189</v>
      </c>
      <c r="D5702" t="s">
        <v>196</v>
      </c>
      <c r="E5702" t="s">
        <v>220</v>
      </c>
      <c r="F5702" t="s">
        <v>207</v>
      </c>
      <c r="G5702" t="s">
        <v>215</v>
      </c>
      <c r="H5702" t="s">
        <v>208</v>
      </c>
    </row>
    <row r="5703" spans="1:14" x14ac:dyDescent="0.25">
      <c r="A5703" t="s">
        <v>198</v>
      </c>
      <c r="B5703">
        <v>82</v>
      </c>
      <c r="C5703" t="s">
        <v>197</v>
      </c>
      <c r="D5703">
        <v>2633</v>
      </c>
      <c r="E5703" s="1">
        <v>1.38E-2</v>
      </c>
      <c r="F5703" s="1">
        <v>0.3206</v>
      </c>
      <c r="H5703" s="1">
        <v>0.66559999999999997</v>
      </c>
    </row>
    <row r="5704" spans="1:14" x14ac:dyDescent="0.25">
      <c r="A5704" t="s">
        <v>198</v>
      </c>
      <c r="B5704">
        <v>368</v>
      </c>
      <c r="C5704" t="s">
        <v>199</v>
      </c>
      <c r="D5704">
        <v>2633</v>
      </c>
      <c r="E5704" s="1">
        <v>2.5100000000000001E-2</v>
      </c>
      <c r="F5704" s="1">
        <v>0.44190000000000002</v>
      </c>
      <c r="G5704" s="1">
        <v>6.1000000000000004E-3</v>
      </c>
      <c r="H5704" s="1">
        <v>0.52680000000000005</v>
      </c>
    </row>
    <row r="5705" spans="1:14" x14ac:dyDescent="0.25">
      <c r="A5705" t="s">
        <v>198</v>
      </c>
      <c r="B5705">
        <v>387</v>
      </c>
      <c r="C5705" t="s">
        <v>200</v>
      </c>
      <c r="D5705">
        <v>2633</v>
      </c>
      <c r="E5705" s="1">
        <v>1.7899999999999999E-2</v>
      </c>
      <c r="F5705" s="1">
        <v>0.49419999999999997</v>
      </c>
      <c r="G5705" s="1">
        <v>6.8999999999999999E-3</v>
      </c>
      <c r="H5705" s="1">
        <v>0.48089999999999999</v>
      </c>
    </row>
    <row r="5706" spans="1:14" x14ac:dyDescent="0.25">
      <c r="A5706" t="s">
        <v>198</v>
      </c>
      <c r="B5706">
        <v>256</v>
      </c>
      <c r="C5706" t="s">
        <v>201</v>
      </c>
      <c r="D5706">
        <v>2633</v>
      </c>
      <c r="E5706" s="1">
        <v>2.9899999999999999E-2</v>
      </c>
      <c r="F5706" s="1">
        <v>0.43540000000000001</v>
      </c>
      <c r="G5706" s="1">
        <v>9.2999999999999992E-3</v>
      </c>
      <c r="H5706" s="1">
        <v>0.52529999999999999</v>
      </c>
    </row>
    <row r="5707" spans="1:14" x14ac:dyDescent="0.25">
      <c r="A5707" t="s">
        <v>198</v>
      </c>
      <c r="B5707">
        <v>96</v>
      </c>
      <c r="C5707" t="s">
        <v>202</v>
      </c>
      <c r="D5707">
        <v>2633</v>
      </c>
      <c r="F5707" s="1">
        <v>0.51359999999999995</v>
      </c>
      <c r="H5707" s="1">
        <v>0.4864</v>
      </c>
    </row>
    <row r="5708" spans="1:14" x14ac:dyDescent="0.25">
      <c r="A5708" t="s">
        <v>203</v>
      </c>
      <c r="B5708">
        <v>530</v>
      </c>
      <c r="C5708" t="s">
        <v>199</v>
      </c>
      <c r="D5708">
        <v>2633</v>
      </c>
      <c r="E5708" s="1">
        <v>1.3299999999999999E-2</v>
      </c>
      <c r="F5708" s="1">
        <v>0.58069999999999999</v>
      </c>
      <c r="G5708" s="1">
        <v>1.0200000000000001E-2</v>
      </c>
      <c r="H5708" s="1">
        <v>0.39589999999999997</v>
      </c>
    </row>
    <row r="5709" spans="1:14" x14ac:dyDescent="0.25">
      <c r="A5709" t="s">
        <v>203</v>
      </c>
      <c r="B5709">
        <v>503</v>
      </c>
      <c r="C5709" t="s">
        <v>200</v>
      </c>
      <c r="D5709">
        <v>2633</v>
      </c>
      <c r="E5709" s="1">
        <v>1.4E-3</v>
      </c>
      <c r="F5709" s="1">
        <v>0.76039999999999996</v>
      </c>
      <c r="H5709" s="1">
        <v>0.2382</v>
      </c>
    </row>
    <row r="5710" spans="1:14" x14ac:dyDescent="0.25">
      <c r="A5710" t="s">
        <v>203</v>
      </c>
      <c r="B5710">
        <v>321</v>
      </c>
      <c r="C5710" t="s">
        <v>201</v>
      </c>
      <c r="D5710">
        <v>2633</v>
      </c>
      <c r="E5710" s="1">
        <v>2.0000000000000001E-4</v>
      </c>
      <c r="F5710" s="1">
        <v>0.80189999999999995</v>
      </c>
      <c r="G5710" s="1">
        <v>1.1999999999999999E-3</v>
      </c>
      <c r="H5710" s="1">
        <v>0.19670000000000001</v>
      </c>
    </row>
    <row r="5711" spans="1:14" x14ac:dyDescent="0.25">
      <c r="A5711" t="s">
        <v>203</v>
      </c>
      <c r="B5711">
        <v>90</v>
      </c>
      <c r="C5711" t="s">
        <v>202</v>
      </c>
      <c r="D5711">
        <v>2633</v>
      </c>
      <c r="F5711" s="1">
        <v>0.85929999999999995</v>
      </c>
      <c r="G5711" s="1">
        <v>1.35E-2</v>
      </c>
      <c r="H5711" s="1">
        <v>0.12720000000000001</v>
      </c>
    </row>
    <row r="5712" spans="1:14" x14ac:dyDescent="0.25">
      <c r="A5712" t="s">
        <v>204</v>
      </c>
      <c r="B5712">
        <v>2633</v>
      </c>
      <c r="C5712" t="s">
        <v>204</v>
      </c>
      <c r="D5712">
        <v>2633</v>
      </c>
      <c r="E5712" s="1">
        <v>9.9000000000000008E-3</v>
      </c>
      <c r="F5712" s="1">
        <v>0.60350000000000004</v>
      </c>
      <c r="G5712" s="1">
        <v>4.1000000000000003E-3</v>
      </c>
      <c r="H5712" s="1">
        <v>0.38250000000000001</v>
      </c>
    </row>
    <row r="5714" spans="1:9" x14ac:dyDescent="0.25">
      <c r="A5714" t="s">
        <v>1135</v>
      </c>
    </row>
    <row r="5715" spans="1:9" x14ac:dyDescent="0.25">
      <c r="A5715" t="s">
        <v>190</v>
      </c>
      <c r="B5715" t="s">
        <v>206</v>
      </c>
      <c r="C5715" t="s">
        <v>195</v>
      </c>
      <c r="D5715" t="s">
        <v>189</v>
      </c>
      <c r="E5715" t="s">
        <v>196</v>
      </c>
      <c r="F5715" t="s">
        <v>220</v>
      </c>
      <c r="G5715" t="s">
        <v>207</v>
      </c>
      <c r="H5715" t="s">
        <v>215</v>
      </c>
      <c r="I5715" t="s">
        <v>208</v>
      </c>
    </row>
    <row r="5716" spans="1:9" x14ac:dyDescent="0.25">
      <c r="A5716" t="s">
        <v>198</v>
      </c>
      <c r="B5716" t="s">
        <v>228</v>
      </c>
      <c r="C5716">
        <v>33</v>
      </c>
      <c r="D5716" t="s">
        <v>197</v>
      </c>
      <c r="E5716">
        <v>2633</v>
      </c>
      <c r="G5716" s="1">
        <v>0.36730000000000002</v>
      </c>
      <c r="I5716" s="1">
        <v>0.63270000000000004</v>
      </c>
    </row>
    <row r="5717" spans="1:9" x14ac:dyDescent="0.25">
      <c r="A5717" t="s">
        <v>198</v>
      </c>
      <c r="B5717" t="s">
        <v>229</v>
      </c>
      <c r="C5717">
        <v>49</v>
      </c>
      <c r="D5717" t="s">
        <v>197</v>
      </c>
      <c r="E5717">
        <v>2633</v>
      </c>
      <c r="F5717" s="1">
        <v>2.4199999999999999E-2</v>
      </c>
      <c r="G5717" s="1">
        <v>0.28510000000000002</v>
      </c>
      <c r="I5717" s="1">
        <v>0.69069999999999998</v>
      </c>
    </row>
    <row r="5718" spans="1:9" x14ac:dyDescent="0.25">
      <c r="A5718" t="s">
        <v>198</v>
      </c>
      <c r="B5718" t="s">
        <v>228</v>
      </c>
      <c r="C5718">
        <v>145</v>
      </c>
      <c r="D5718" t="s">
        <v>199</v>
      </c>
      <c r="E5718">
        <v>2633</v>
      </c>
      <c r="F5718" s="1">
        <v>7.4800000000000005E-2</v>
      </c>
      <c r="G5718" s="1">
        <v>0.41349999999999998</v>
      </c>
      <c r="H5718" s="1">
        <v>1.6199999999999999E-2</v>
      </c>
      <c r="I5718" s="1">
        <v>0.4955</v>
      </c>
    </row>
    <row r="5719" spans="1:9" x14ac:dyDescent="0.25">
      <c r="A5719" t="s">
        <v>198</v>
      </c>
      <c r="B5719" t="s">
        <v>229</v>
      </c>
      <c r="C5719">
        <v>213</v>
      </c>
      <c r="D5719" t="s">
        <v>199</v>
      </c>
      <c r="E5719">
        <v>2633</v>
      </c>
      <c r="F5719" s="1">
        <v>8.0000000000000002E-3</v>
      </c>
      <c r="G5719" s="1">
        <v>0.4536</v>
      </c>
      <c r="H5719" s="1">
        <v>2.7000000000000001E-3</v>
      </c>
      <c r="I5719" s="1">
        <v>0.53569999999999995</v>
      </c>
    </row>
    <row r="5720" spans="1:9" x14ac:dyDescent="0.25">
      <c r="A5720" t="s">
        <v>198</v>
      </c>
      <c r="B5720" t="s">
        <v>229</v>
      </c>
      <c r="C5720">
        <v>270</v>
      </c>
      <c r="D5720" t="s">
        <v>200</v>
      </c>
      <c r="E5720">
        <v>2633</v>
      </c>
      <c r="F5720" s="1">
        <v>1.5299999999999999E-2</v>
      </c>
      <c r="G5720" s="1">
        <v>0.52080000000000004</v>
      </c>
      <c r="H5720" s="1">
        <v>5.1000000000000004E-3</v>
      </c>
      <c r="I5720" s="1">
        <v>0.45879999999999999</v>
      </c>
    </row>
    <row r="5721" spans="1:9" x14ac:dyDescent="0.25">
      <c r="A5721" t="s">
        <v>198</v>
      </c>
      <c r="B5721" t="s">
        <v>228</v>
      </c>
      <c r="C5721">
        <v>112</v>
      </c>
      <c r="D5721" t="s">
        <v>200</v>
      </c>
      <c r="E5721">
        <v>2633</v>
      </c>
      <c r="F5721" s="1">
        <v>2.7300000000000001E-2</v>
      </c>
      <c r="G5721" s="1">
        <v>0.41220000000000001</v>
      </c>
      <c r="H5721" s="1">
        <v>1.3299999999999999E-2</v>
      </c>
      <c r="I5721" s="1">
        <v>0.54720000000000002</v>
      </c>
    </row>
    <row r="5722" spans="1:9" x14ac:dyDescent="0.25">
      <c r="A5722" t="s">
        <v>198</v>
      </c>
      <c r="B5722" t="s">
        <v>228</v>
      </c>
      <c r="C5722">
        <v>95</v>
      </c>
      <c r="D5722" t="s">
        <v>201</v>
      </c>
      <c r="E5722">
        <v>2633</v>
      </c>
      <c r="G5722" s="1">
        <v>0.40139999999999998</v>
      </c>
      <c r="I5722" s="1">
        <v>0.59860000000000002</v>
      </c>
    </row>
    <row r="5723" spans="1:9" x14ac:dyDescent="0.25">
      <c r="A5723" t="s">
        <v>198</v>
      </c>
      <c r="B5723" t="s">
        <v>229</v>
      </c>
      <c r="C5723">
        <v>155</v>
      </c>
      <c r="D5723" t="s">
        <v>201</v>
      </c>
      <c r="E5723">
        <v>2633</v>
      </c>
      <c r="F5723" s="1">
        <v>3.8600000000000002E-2</v>
      </c>
      <c r="G5723" s="1">
        <v>0.437</v>
      </c>
      <c r="H5723" s="1">
        <v>1.2E-2</v>
      </c>
      <c r="I5723" s="1">
        <v>0.51239999999999997</v>
      </c>
    </row>
    <row r="5724" spans="1:9" s="29" customFormat="1" x14ac:dyDescent="0.25">
      <c r="A5724" s="29" t="s">
        <v>198</v>
      </c>
      <c r="B5724" s="29" t="s">
        <v>228</v>
      </c>
      <c r="C5724" s="29">
        <v>28</v>
      </c>
      <c r="D5724" s="29" t="s">
        <v>202</v>
      </c>
      <c r="E5724" s="29">
        <v>2633</v>
      </c>
      <c r="G5724" s="30">
        <v>0.30099999999999999</v>
      </c>
      <c r="I5724" s="30">
        <v>0.69899999999999995</v>
      </c>
    </row>
    <row r="5725" spans="1:9" x14ac:dyDescent="0.25">
      <c r="A5725" t="s">
        <v>198</v>
      </c>
      <c r="B5725" t="s">
        <v>229</v>
      </c>
      <c r="C5725">
        <v>68</v>
      </c>
      <c r="D5725" t="s">
        <v>202</v>
      </c>
      <c r="E5725">
        <v>2633</v>
      </c>
      <c r="G5725" s="1">
        <v>0.57940000000000003</v>
      </c>
      <c r="I5725" s="1">
        <v>0.42059999999999997</v>
      </c>
    </row>
    <row r="5726" spans="1:9" x14ac:dyDescent="0.25">
      <c r="A5726" t="s">
        <v>203</v>
      </c>
      <c r="B5726" t="s">
        <v>229</v>
      </c>
      <c r="C5726">
        <v>370</v>
      </c>
      <c r="D5726" t="s">
        <v>199</v>
      </c>
      <c r="E5726">
        <v>2633</v>
      </c>
      <c r="F5726" s="1">
        <v>1.2999999999999999E-2</v>
      </c>
      <c r="G5726" s="1">
        <v>0.59530000000000005</v>
      </c>
      <c r="H5726" s="1">
        <v>1.11E-2</v>
      </c>
      <c r="I5726" s="1">
        <v>0.38059999999999999</v>
      </c>
    </row>
    <row r="5727" spans="1:9" x14ac:dyDescent="0.25">
      <c r="A5727" t="s">
        <v>203</v>
      </c>
      <c r="B5727" t="s">
        <v>228</v>
      </c>
      <c r="C5727">
        <v>150</v>
      </c>
      <c r="D5727" t="s">
        <v>199</v>
      </c>
      <c r="E5727">
        <v>2633</v>
      </c>
      <c r="F5727" s="1">
        <v>1.61E-2</v>
      </c>
      <c r="G5727" s="1">
        <v>0.45450000000000002</v>
      </c>
      <c r="H5727" s="1">
        <v>2.8999999999999998E-3</v>
      </c>
      <c r="I5727" s="1">
        <v>0.52639999999999998</v>
      </c>
    </row>
    <row r="5728" spans="1:9" x14ac:dyDescent="0.25">
      <c r="A5728" t="s">
        <v>203</v>
      </c>
      <c r="B5728" t="s">
        <v>229</v>
      </c>
      <c r="C5728">
        <v>347</v>
      </c>
      <c r="D5728" t="s">
        <v>200</v>
      </c>
      <c r="E5728">
        <v>2633</v>
      </c>
      <c r="F5728" s="1">
        <v>1.6999999999999999E-3</v>
      </c>
      <c r="G5728" s="1">
        <v>0.76300000000000001</v>
      </c>
      <c r="I5728" s="1">
        <v>0.2354</v>
      </c>
    </row>
    <row r="5729" spans="1:9" x14ac:dyDescent="0.25">
      <c r="A5729" t="s">
        <v>203</v>
      </c>
      <c r="B5729" t="s">
        <v>228</v>
      </c>
      <c r="C5729">
        <v>155</v>
      </c>
      <c r="D5729" t="s">
        <v>200</v>
      </c>
      <c r="E5729">
        <v>2633</v>
      </c>
      <c r="F5729" s="1">
        <v>4.0000000000000002E-4</v>
      </c>
      <c r="G5729" s="1">
        <v>0.74919999999999998</v>
      </c>
      <c r="I5729" s="1">
        <v>0.25040000000000001</v>
      </c>
    </row>
    <row r="5730" spans="1:9" x14ac:dyDescent="0.25">
      <c r="A5730" t="s">
        <v>203</v>
      </c>
      <c r="B5730" t="s">
        <v>229</v>
      </c>
      <c r="C5730">
        <v>137</v>
      </c>
      <c r="D5730" t="s">
        <v>201</v>
      </c>
      <c r="E5730">
        <v>2633</v>
      </c>
      <c r="G5730" s="1">
        <v>0.85870000000000002</v>
      </c>
      <c r="I5730" s="1">
        <v>0.14130000000000001</v>
      </c>
    </row>
    <row r="5731" spans="1:9" x14ac:dyDescent="0.25">
      <c r="A5731" t="s">
        <v>203</v>
      </c>
      <c r="B5731" t="s">
        <v>228</v>
      </c>
      <c r="C5731">
        <v>177</v>
      </c>
      <c r="D5731" t="s">
        <v>201</v>
      </c>
      <c r="E5731">
        <v>2633</v>
      </c>
      <c r="F5731" s="1">
        <v>8.0000000000000004E-4</v>
      </c>
      <c r="G5731" s="1">
        <v>0.62190000000000001</v>
      </c>
      <c r="H5731" s="1">
        <v>4.8999999999999998E-3</v>
      </c>
      <c r="I5731" s="1">
        <v>0.37240000000000001</v>
      </c>
    </row>
    <row r="5732" spans="1:9" x14ac:dyDescent="0.25">
      <c r="A5732" t="s">
        <v>203</v>
      </c>
      <c r="B5732" t="s">
        <v>228</v>
      </c>
      <c r="C5732">
        <v>34</v>
      </c>
      <c r="D5732" t="s">
        <v>202</v>
      </c>
      <c r="E5732">
        <v>2633</v>
      </c>
      <c r="G5732" s="1">
        <v>0.86829999999999996</v>
      </c>
      <c r="I5732" s="1">
        <v>0.13170000000000001</v>
      </c>
    </row>
    <row r="5733" spans="1:9" x14ac:dyDescent="0.25">
      <c r="A5733" t="s">
        <v>203</v>
      </c>
      <c r="B5733" t="s">
        <v>229</v>
      </c>
      <c r="C5733">
        <v>56</v>
      </c>
      <c r="D5733" t="s">
        <v>202</v>
      </c>
      <c r="E5733">
        <v>2633</v>
      </c>
      <c r="G5733" s="1">
        <v>0.85580000000000001</v>
      </c>
      <c r="H5733" s="1">
        <v>1.8800000000000001E-2</v>
      </c>
      <c r="I5733" s="1">
        <v>0.12540000000000001</v>
      </c>
    </row>
    <row r="5734" spans="1:9" x14ac:dyDescent="0.25">
      <c r="A5734" t="s">
        <v>204</v>
      </c>
      <c r="B5734" t="s">
        <v>204</v>
      </c>
      <c r="C5734">
        <v>2633</v>
      </c>
      <c r="D5734" t="s">
        <v>204</v>
      </c>
      <c r="E5734">
        <v>2633</v>
      </c>
      <c r="F5734" s="1">
        <v>9.9000000000000008E-3</v>
      </c>
      <c r="G5734" s="1">
        <v>0.60350000000000004</v>
      </c>
      <c r="H5734" s="1">
        <v>4.1000000000000003E-3</v>
      </c>
      <c r="I5734" s="1">
        <v>0.38250000000000001</v>
      </c>
    </row>
    <row r="5736" spans="1:9" x14ac:dyDescent="0.25">
      <c r="A5736" t="s">
        <v>1136</v>
      </c>
    </row>
    <row r="5737" spans="1:9" x14ac:dyDescent="0.25">
      <c r="A5737" t="s">
        <v>190</v>
      </c>
      <c r="B5737" t="s">
        <v>206</v>
      </c>
      <c r="C5737" t="s">
        <v>195</v>
      </c>
      <c r="D5737" t="s">
        <v>189</v>
      </c>
      <c r="E5737" t="s">
        <v>196</v>
      </c>
      <c r="F5737" t="s">
        <v>220</v>
      </c>
      <c r="G5737" t="s">
        <v>207</v>
      </c>
      <c r="H5737" t="s">
        <v>215</v>
      </c>
      <c r="I5737" t="s">
        <v>208</v>
      </c>
    </row>
    <row r="5738" spans="1:9" x14ac:dyDescent="0.25">
      <c r="A5738" t="s">
        <v>198</v>
      </c>
      <c r="B5738" t="s">
        <v>348</v>
      </c>
      <c r="C5738">
        <v>79</v>
      </c>
      <c r="D5738" t="s">
        <v>197</v>
      </c>
      <c r="E5738">
        <v>2633</v>
      </c>
      <c r="F5738" s="1">
        <v>1.4200000000000001E-2</v>
      </c>
      <c r="G5738" s="1">
        <v>0.32019999999999998</v>
      </c>
      <c r="I5738" s="1">
        <v>0.66559999999999997</v>
      </c>
    </row>
    <row r="5739" spans="1:9" s="29" customFormat="1" x14ac:dyDescent="0.25">
      <c r="A5739" s="29" t="s">
        <v>198</v>
      </c>
      <c r="B5739" s="29" t="s">
        <v>349</v>
      </c>
      <c r="C5739" s="29">
        <v>3</v>
      </c>
      <c r="D5739" s="29" t="s">
        <v>197</v>
      </c>
      <c r="E5739" s="29">
        <v>2633</v>
      </c>
      <c r="G5739" s="30">
        <v>0.33329999999999999</v>
      </c>
      <c r="I5739" s="30">
        <v>0.66669999999999996</v>
      </c>
    </row>
    <row r="5740" spans="1:9" x14ac:dyDescent="0.25">
      <c r="A5740" t="s">
        <v>198</v>
      </c>
      <c r="B5740" t="s">
        <v>348</v>
      </c>
      <c r="C5740">
        <v>54</v>
      </c>
      <c r="D5740" t="s">
        <v>199</v>
      </c>
      <c r="E5740">
        <v>2633</v>
      </c>
      <c r="F5740" s="1">
        <v>2.53E-2</v>
      </c>
      <c r="G5740" s="1">
        <v>0.45810000000000001</v>
      </c>
      <c r="I5740" s="1">
        <v>0.51670000000000005</v>
      </c>
    </row>
    <row r="5741" spans="1:9" x14ac:dyDescent="0.25">
      <c r="A5741" t="s">
        <v>198</v>
      </c>
      <c r="B5741" t="s">
        <v>349</v>
      </c>
      <c r="C5741">
        <v>111</v>
      </c>
      <c r="D5741" t="s">
        <v>199</v>
      </c>
      <c r="E5741">
        <v>2633</v>
      </c>
      <c r="F5741" s="1">
        <v>3.5700000000000003E-2</v>
      </c>
      <c r="G5741" s="1">
        <v>0.42699999999999999</v>
      </c>
      <c r="H5741" s="1">
        <v>6.4000000000000003E-3</v>
      </c>
      <c r="I5741" s="1">
        <v>0.53090000000000004</v>
      </c>
    </row>
    <row r="5742" spans="1:9" x14ac:dyDescent="0.25">
      <c r="A5742" t="s">
        <v>198</v>
      </c>
      <c r="B5742" t="s">
        <v>350</v>
      </c>
      <c r="C5742">
        <v>193</v>
      </c>
      <c r="D5742" t="s">
        <v>199</v>
      </c>
      <c r="E5742">
        <v>2633</v>
      </c>
      <c r="F5742" s="1">
        <v>1.38E-2</v>
      </c>
      <c r="G5742" s="1">
        <v>0.45619999999999999</v>
      </c>
      <c r="H5742" s="1">
        <v>8.0999999999999996E-3</v>
      </c>
      <c r="I5742" s="1">
        <v>0.52200000000000002</v>
      </c>
    </row>
    <row r="5743" spans="1:9" x14ac:dyDescent="0.25">
      <c r="A5743" t="s">
        <v>198</v>
      </c>
      <c r="B5743" t="s">
        <v>350</v>
      </c>
      <c r="C5743">
        <v>78</v>
      </c>
      <c r="D5743" t="s">
        <v>200</v>
      </c>
      <c r="E5743">
        <v>2633</v>
      </c>
      <c r="G5743" s="1">
        <v>0.35859999999999997</v>
      </c>
      <c r="I5743" s="1">
        <v>0.64139999999999997</v>
      </c>
    </row>
    <row r="5744" spans="1:9" x14ac:dyDescent="0.25">
      <c r="A5744" t="s">
        <v>198</v>
      </c>
      <c r="B5744" t="s">
        <v>348</v>
      </c>
      <c r="C5744">
        <v>242</v>
      </c>
      <c r="D5744" t="s">
        <v>200</v>
      </c>
      <c r="E5744">
        <v>2633</v>
      </c>
      <c r="F5744" s="1">
        <v>2.0799999999999999E-2</v>
      </c>
      <c r="G5744" s="1">
        <v>0.51300000000000001</v>
      </c>
      <c r="H5744" s="1">
        <v>7.1000000000000004E-3</v>
      </c>
      <c r="I5744" s="1">
        <v>0.4592</v>
      </c>
    </row>
    <row r="5745" spans="1:9" x14ac:dyDescent="0.25">
      <c r="A5745" t="s">
        <v>198</v>
      </c>
      <c r="B5745" t="s">
        <v>349</v>
      </c>
      <c r="C5745">
        <v>62</v>
      </c>
      <c r="D5745" t="s">
        <v>200</v>
      </c>
      <c r="E5745">
        <v>2633</v>
      </c>
      <c r="G5745" s="1">
        <v>0.40110000000000001</v>
      </c>
      <c r="H5745" s="1">
        <v>1.38E-2</v>
      </c>
      <c r="I5745" s="1">
        <v>0.58499999999999996</v>
      </c>
    </row>
    <row r="5746" spans="1:9" x14ac:dyDescent="0.25">
      <c r="A5746" t="s">
        <v>198</v>
      </c>
      <c r="B5746" t="s">
        <v>349</v>
      </c>
      <c r="C5746">
        <v>125</v>
      </c>
      <c r="D5746" t="s">
        <v>201</v>
      </c>
      <c r="E5746">
        <v>2633</v>
      </c>
      <c r="F5746" s="1">
        <v>4.2700000000000002E-2</v>
      </c>
      <c r="G5746" s="1">
        <v>0.39019999999999999</v>
      </c>
      <c r="H5746" s="1">
        <v>1.3599999999999999E-2</v>
      </c>
      <c r="I5746" s="1">
        <v>0.55349999999999999</v>
      </c>
    </row>
    <row r="5747" spans="1:9" x14ac:dyDescent="0.25">
      <c r="A5747" t="s">
        <v>198</v>
      </c>
      <c r="B5747" t="s">
        <v>350</v>
      </c>
      <c r="C5747">
        <v>63</v>
      </c>
      <c r="D5747" t="s">
        <v>201</v>
      </c>
      <c r="E5747">
        <v>2633</v>
      </c>
      <c r="F5747" s="1">
        <v>1.47E-2</v>
      </c>
      <c r="G5747" s="1">
        <v>0.4612</v>
      </c>
      <c r="I5747" s="1">
        <v>0.52410000000000001</v>
      </c>
    </row>
    <row r="5748" spans="1:9" x14ac:dyDescent="0.25">
      <c r="A5748" t="s">
        <v>198</v>
      </c>
      <c r="B5748" t="s">
        <v>348</v>
      </c>
      <c r="C5748">
        <v>62</v>
      </c>
      <c r="D5748" t="s">
        <v>201</v>
      </c>
      <c r="E5748">
        <v>2633</v>
      </c>
      <c r="G5748" s="1">
        <v>0.52790000000000004</v>
      </c>
      <c r="I5748" s="1">
        <v>0.47210000000000002</v>
      </c>
    </row>
    <row r="5749" spans="1:9" x14ac:dyDescent="0.25">
      <c r="A5749" t="s">
        <v>198</v>
      </c>
      <c r="B5749" t="s">
        <v>348</v>
      </c>
      <c r="C5749">
        <v>96</v>
      </c>
      <c r="D5749" t="s">
        <v>202</v>
      </c>
      <c r="E5749">
        <v>2633</v>
      </c>
      <c r="G5749" s="1">
        <v>0.51359999999999995</v>
      </c>
      <c r="I5749" s="1">
        <v>0.4864</v>
      </c>
    </row>
    <row r="5750" spans="1:9" x14ac:dyDescent="0.25">
      <c r="A5750" t="s">
        <v>203</v>
      </c>
      <c r="B5750" t="s">
        <v>349</v>
      </c>
      <c r="C5750">
        <v>171</v>
      </c>
      <c r="D5750" t="s">
        <v>199</v>
      </c>
      <c r="E5750">
        <v>2633</v>
      </c>
      <c r="F5750" s="1">
        <v>5.1000000000000004E-3</v>
      </c>
      <c r="G5750" s="1">
        <v>0.6532</v>
      </c>
      <c r="H5750" s="1">
        <v>4.3E-3</v>
      </c>
      <c r="I5750" s="1">
        <v>0.33739999999999998</v>
      </c>
    </row>
    <row r="5751" spans="1:9" x14ac:dyDescent="0.25">
      <c r="A5751" t="s">
        <v>203</v>
      </c>
      <c r="B5751" t="s">
        <v>348</v>
      </c>
      <c r="C5751">
        <v>42</v>
      </c>
      <c r="D5751" t="s">
        <v>199</v>
      </c>
      <c r="E5751">
        <v>2633</v>
      </c>
      <c r="F5751" s="1">
        <v>0.01</v>
      </c>
      <c r="G5751" s="1">
        <v>0.62209999999999999</v>
      </c>
      <c r="H5751" s="1">
        <v>5.1000000000000004E-3</v>
      </c>
      <c r="I5751" s="1">
        <v>0.36280000000000001</v>
      </c>
    </row>
    <row r="5752" spans="1:9" x14ac:dyDescent="0.25">
      <c r="A5752" t="s">
        <v>203</v>
      </c>
      <c r="B5752" t="s">
        <v>350</v>
      </c>
      <c r="C5752">
        <v>307</v>
      </c>
      <c r="D5752" t="s">
        <v>199</v>
      </c>
      <c r="E5752">
        <v>2633</v>
      </c>
      <c r="F5752" s="1">
        <v>1.78E-2</v>
      </c>
      <c r="G5752" s="1">
        <v>0.54039999999999999</v>
      </c>
      <c r="H5752" s="1">
        <v>1.3599999999999999E-2</v>
      </c>
      <c r="I5752" s="1">
        <v>0.42820000000000003</v>
      </c>
    </row>
    <row r="5753" spans="1:9" x14ac:dyDescent="0.25">
      <c r="A5753" t="s">
        <v>203</v>
      </c>
      <c r="B5753" t="s">
        <v>348</v>
      </c>
      <c r="C5753">
        <v>300</v>
      </c>
      <c r="D5753" t="s">
        <v>200</v>
      </c>
      <c r="E5753">
        <v>2633</v>
      </c>
      <c r="G5753" s="1">
        <v>0.77449999999999997</v>
      </c>
      <c r="I5753" s="1">
        <v>0.22550000000000001</v>
      </c>
    </row>
    <row r="5754" spans="1:9" x14ac:dyDescent="0.25">
      <c r="A5754" t="s">
        <v>203</v>
      </c>
      <c r="B5754" t="s">
        <v>349</v>
      </c>
      <c r="C5754">
        <v>108</v>
      </c>
      <c r="D5754" t="s">
        <v>200</v>
      </c>
      <c r="E5754">
        <v>2633</v>
      </c>
      <c r="F5754" s="1">
        <v>1.5299999999999999E-2</v>
      </c>
      <c r="G5754" s="1">
        <v>0.65920000000000001</v>
      </c>
      <c r="I5754" s="1">
        <v>0.32550000000000001</v>
      </c>
    </row>
    <row r="5755" spans="1:9" x14ac:dyDescent="0.25">
      <c r="A5755" t="s">
        <v>203</v>
      </c>
      <c r="B5755" t="s">
        <v>350</v>
      </c>
      <c r="C5755">
        <v>94</v>
      </c>
      <c r="D5755" t="s">
        <v>200</v>
      </c>
      <c r="E5755">
        <v>2633</v>
      </c>
      <c r="F5755" s="1">
        <v>5.5999999999999999E-3</v>
      </c>
      <c r="G5755" s="1">
        <v>0.62739999999999996</v>
      </c>
      <c r="I5755" s="1">
        <v>0.36699999999999999</v>
      </c>
    </row>
    <row r="5756" spans="1:9" x14ac:dyDescent="0.25">
      <c r="A5756" t="s">
        <v>203</v>
      </c>
      <c r="B5756" t="s">
        <v>348</v>
      </c>
      <c r="C5756">
        <v>62</v>
      </c>
      <c r="D5756" t="s">
        <v>201</v>
      </c>
      <c r="E5756">
        <v>2633</v>
      </c>
      <c r="G5756" s="1">
        <v>0.59570000000000001</v>
      </c>
      <c r="I5756" s="1">
        <v>0.40429999999999999</v>
      </c>
    </row>
    <row r="5757" spans="1:9" x14ac:dyDescent="0.25">
      <c r="A5757" t="s">
        <v>203</v>
      </c>
      <c r="B5757" t="s">
        <v>349</v>
      </c>
      <c r="C5757">
        <v>147</v>
      </c>
      <c r="D5757" t="s">
        <v>201</v>
      </c>
      <c r="E5757">
        <v>2633</v>
      </c>
      <c r="G5757" s="1">
        <v>0.86029999999999995</v>
      </c>
      <c r="I5757" s="1">
        <v>0.13969999999999999</v>
      </c>
    </row>
    <row r="5758" spans="1:9" x14ac:dyDescent="0.25">
      <c r="A5758" t="s">
        <v>203</v>
      </c>
      <c r="B5758" t="s">
        <v>350</v>
      </c>
      <c r="C5758">
        <v>105</v>
      </c>
      <c r="D5758" t="s">
        <v>201</v>
      </c>
      <c r="E5758">
        <v>2633</v>
      </c>
      <c r="F5758" s="1">
        <v>2.8E-3</v>
      </c>
      <c r="G5758" s="1">
        <v>0.45490000000000003</v>
      </c>
      <c r="H5758" s="1">
        <v>1.6199999999999999E-2</v>
      </c>
      <c r="I5758" s="1">
        <v>0.52610000000000001</v>
      </c>
    </row>
    <row r="5759" spans="1:9" x14ac:dyDescent="0.25">
      <c r="A5759" t="s">
        <v>203</v>
      </c>
      <c r="B5759" t="s">
        <v>348</v>
      </c>
      <c r="C5759">
        <v>90</v>
      </c>
      <c r="D5759" t="s">
        <v>202</v>
      </c>
      <c r="E5759">
        <v>2633</v>
      </c>
      <c r="G5759" s="1">
        <v>0.85929999999999995</v>
      </c>
      <c r="H5759" s="1">
        <v>1.35E-2</v>
      </c>
      <c r="I5759" s="1">
        <v>0.12720000000000001</v>
      </c>
    </row>
    <row r="5760" spans="1:9" x14ac:dyDescent="0.25">
      <c r="A5760" t="s">
        <v>204</v>
      </c>
      <c r="B5760" t="s">
        <v>204</v>
      </c>
      <c r="C5760">
        <v>2633</v>
      </c>
      <c r="D5760" t="s">
        <v>204</v>
      </c>
      <c r="E5760">
        <v>2633</v>
      </c>
      <c r="F5760" s="1">
        <v>9.9000000000000008E-3</v>
      </c>
      <c r="G5760" s="1">
        <v>0.60350000000000004</v>
      </c>
      <c r="H5760" s="1">
        <v>4.1000000000000003E-3</v>
      </c>
      <c r="I5760" s="1">
        <v>0.38250000000000001</v>
      </c>
    </row>
    <row r="5762" spans="1:16" x14ac:dyDescent="0.25">
      <c r="A5762" t="s">
        <v>1137</v>
      </c>
    </row>
    <row r="5763" spans="1:16" x14ac:dyDescent="0.25">
      <c r="A5763" t="s">
        <v>190</v>
      </c>
      <c r="B5763" t="s">
        <v>195</v>
      </c>
      <c r="C5763" t="s">
        <v>189</v>
      </c>
      <c r="D5763" t="s">
        <v>196</v>
      </c>
      <c r="E5763" t="s">
        <v>1138</v>
      </c>
      <c r="F5763" t="s">
        <v>1139</v>
      </c>
      <c r="G5763" t="s">
        <v>220</v>
      </c>
      <c r="H5763" t="s">
        <v>1140</v>
      </c>
      <c r="I5763" t="s">
        <v>235</v>
      </c>
      <c r="J5763" t="s">
        <v>1141</v>
      </c>
      <c r="K5763" t="s">
        <v>215</v>
      </c>
      <c r="L5763" t="s">
        <v>1142</v>
      </c>
      <c r="M5763" t="s">
        <v>1143</v>
      </c>
      <c r="N5763" t="s">
        <v>1144</v>
      </c>
      <c r="O5763" t="s">
        <v>1145</v>
      </c>
    </row>
    <row r="5764" spans="1:16" x14ac:dyDescent="0.25">
      <c r="A5764" t="s">
        <v>198</v>
      </c>
      <c r="B5764">
        <v>56</v>
      </c>
      <c r="C5764" t="s">
        <v>197</v>
      </c>
      <c r="D5764">
        <v>1140</v>
      </c>
      <c r="E5764" s="1">
        <v>0.15740000000000001</v>
      </c>
      <c r="G5764" s="1">
        <v>1.12E-2</v>
      </c>
      <c r="H5764" s="1">
        <v>0.22289999999999999</v>
      </c>
      <c r="J5764" s="1">
        <v>0.51280000000000003</v>
      </c>
      <c r="L5764" s="1">
        <v>0.7802</v>
      </c>
      <c r="M5764" s="1">
        <v>0.25900000000000001</v>
      </c>
    </row>
    <row r="5765" spans="1:16" x14ac:dyDescent="0.25">
      <c r="A5765" t="s">
        <v>198</v>
      </c>
      <c r="B5765">
        <v>199</v>
      </c>
      <c r="C5765" t="s">
        <v>199</v>
      </c>
      <c r="D5765">
        <v>1140</v>
      </c>
      <c r="E5765" s="1">
        <v>0.15340000000000001</v>
      </c>
      <c r="F5765" s="1">
        <v>5.0900000000000001E-2</v>
      </c>
      <c r="G5765" s="1">
        <v>7.7999999999999996E-3</v>
      </c>
      <c r="H5765" s="1">
        <v>0.2059</v>
      </c>
      <c r="I5765" s="1">
        <v>5.4999999999999997E-3</v>
      </c>
      <c r="J5765" s="1">
        <v>0.34960000000000002</v>
      </c>
      <c r="L5765" s="1">
        <v>0.73770000000000002</v>
      </c>
      <c r="M5765" s="1">
        <v>0.31209999999999999</v>
      </c>
      <c r="N5765" s="1">
        <v>3.8E-3</v>
      </c>
    </row>
    <row r="5766" spans="1:16" x14ac:dyDescent="0.25">
      <c r="A5766" t="s">
        <v>198</v>
      </c>
      <c r="B5766">
        <v>196</v>
      </c>
      <c r="C5766" t="s">
        <v>200</v>
      </c>
      <c r="D5766">
        <v>1140</v>
      </c>
      <c r="E5766" s="1">
        <v>0.12039999999999999</v>
      </c>
      <c r="F5766" s="1">
        <v>6.5600000000000006E-2</v>
      </c>
      <c r="G5766" s="1">
        <v>2.0000000000000001E-4</v>
      </c>
      <c r="H5766" s="1">
        <v>0.1663</v>
      </c>
      <c r="I5766" s="1">
        <v>1.5E-3</v>
      </c>
      <c r="J5766" s="1">
        <v>0.33460000000000001</v>
      </c>
      <c r="L5766" s="1">
        <v>0.61699999999999999</v>
      </c>
      <c r="M5766" s="1">
        <v>0.44069999999999998</v>
      </c>
      <c r="O5766" s="1">
        <v>8.8999999999999999E-3</v>
      </c>
    </row>
    <row r="5767" spans="1:16" x14ac:dyDescent="0.25">
      <c r="A5767" t="s">
        <v>198</v>
      </c>
      <c r="B5767">
        <v>130</v>
      </c>
      <c r="C5767" t="s">
        <v>201</v>
      </c>
      <c r="D5767">
        <v>1140</v>
      </c>
      <c r="E5767" s="1">
        <v>0.11899999999999999</v>
      </c>
      <c r="F5767" s="1">
        <v>3.6200000000000003E-2</v>
      </c>
      <c r="G5767" s="1">
        <v>2.0199999999999999E-2</v>
      </c>
      <c r="H5767" s="1">
        <v>0.18060000000000001</v>
      </c>
      <c r="I5767" s="1">
        <v>3.56E-2</v>
      </c>
      <c r="J5767" s="1">
        <v>0.25919999999999999</v>
      </c>
      <c r="L5767" s="1">
        <v>0.57889999999999997</v>
      </c>
      <c r="M5767" s="1">
        <v>0.3901</v>
      </c>
    </row>
    <row r="5768" spans="1:16" x14ac:dyDescent="0.25">
      <c r="A5768" t="s">
        <v>198</v>
      </c>
      <c r="B5768">
        <v>45</v>
      </c>
      <c r="C5768" t="s">
        <v>202</v>
      </c>
      <c r="D5768">
        <v>1140</v>
      </c>
      <c r="E5768" s="1">
        <v>0.182</v>
      </c>
      <c r="F5768" s="1">
        <v>5.2600000000000001E-2</v>
      </c>
      <c r="H5768" s="1">
        <v>0.2676</v>
      </c>
      <c r="I5768" s="1">
        <v>3.2399999999999998E-2</v>
      </c>
      <c r="J5768" s="1">
        <v>0.22359999999999999</v>
      </c>
      <c r="L5768" s="1">
        <v>0.72519999999999996</v>
      </c>
      <c r="M5768" s="1">
        <v>0.498</v>
      </c>
    </row>
    <row r="5769" spans="1:16" x14ac:dyDescent="0.25">
      <c r="A5769" t="s">
        <v>203</v>
      </c>
      <c r="B5769">
        <v>227</v>
      </c>
      <c r="C5769" t="s">
        <v>199</v>
      </c>
      <c r="D5769">
        <v>1140</v>
      </c>
      <c r="E5769" s="1">
        <v>3.0800000000000001E-2</v>
      </c>
      <c r="F5769" s="1">
        <v>3.1300000000000001E-2</v>
      </c>
      <c r="G5769" s="1">
        <v>1.5E-3</v>
      </c>
      <c r="H5769" s="1">
        <v>0.1366</v>
      </c>
      <c r="I5769" s="1">
        <v>2.1600000000000001E-2</v>
      </c>
      <c r="J5769" s="1">
        <v>0.25059999999999999</v>
      </c>
      <c r="K5769" s="1">
        <v>1.2999999999999999E-3</v>
      </c>
      <c r="L5769" s="1">
        <v>0.87439999999999996</v>
      </c>
      <c r="M5769" s="1">
        <v>0.41699999999999998</v>
      </c>
      <c r="O5769" s="1">
        <v>1.4E-3</v>
      </c>
    </row>
    <row r="5770" spans="1:16" x14ac:dyDescent="0.25">
      <c r="A5770" t="s">
        <v>203</v>
      </c>
      <c r="B5770">
        <v>145</v>
      </c>
      <c r="C5770" t="s">
        <v>200</v>
      </c>
      <c r="D5770">
        <v>1140</v>
      </c>
      <c r="E5770" s="1">
        <v>6.0000000000000001E-3</v>
      </c>
      <c r="F5770" s="1">
        <v>6.7900000000000002E-2</v>
      </c>
      <c r="H5770" s="1">
        <v>6.3799999999999996E-2</v>
      </c>
      <c r="I5770" s="1">
        <v>5.0000000000000001E-4</v>
      </c>
      <c r="J5770" s="1">
        <v>0.38229999999999997</v>
      </c>
      <c r="L5770" s="1">
        <v>0.85309999999999997</v>
      </c>
      <c r="M5770" s="1">
        <v>0.49980000000000002</v>
      </c>
    </row>
    <row r="5771" spans="1:16" x14ac:dyDescent="0.25">
      <c r="A5771" t="s">
        <v>203</v>
      </c>
      <c r="B5771">
        <v>126</v>
      </c>
      <c r="C5771" t="s">
        <v>201</v>
      </c>
      <c r="D5771">
        <v>1140</v>
      </c>
      <c r="E5771" s="1">
        <v>1.29E-2</v>
      </c>
      <c r="F5771" s="1">
        <v>0.1547</v>
      </c>
      <c r="G5771" s="1">
        <v>6.8999999999999999E-3</v>
      </c>
      <c r="H5771" s="1">
        <v>0.29389999999999999</v>
      </c>
      <c r="I5771" s="1">
        <v>5.8999999999999999E-3</v>
      </c>
      <c r="J5771" s="1">
        <v>0.2414</v>
      </c>
      <c r="L5771" s="1">
        <v>0.78010000000000002</v>
      </c>
      <c r="M5771" s="1">
        <v>0.4955</v>
      </c>
      <c r="N5771" s="1">
        <v>9.5999999999999992E-3</v>
      </c>
      <c r="O5771" s="1">
        <v>5.8999999999999999E-3</v>
      </c>
    </row>
    <row r="5772" spans="1:16" s="29" customFormat="1" x14ac:dyDescent="0.25">
      <c r="A5772" s="29" t="s">
        <v>203</v>
      </c>
      <c r="B5772" s="29">
        <v>16</v>
      </c>
      <c r="C5772" s="29" t="s">
        <v>202</v>
      </c>
      <c r="D5772" s="29">
        <v>1140</v>
      </c>
      <c r="H5772" s="30">
        <v>0.30869999999999997</v>
      </c>
      <c r="J5772" s="30">
        <v>0.30869999999999997</v>
      </c>
      <c r="K5772" s="30">
        <v>3.8899999999999997E-2</v>
      </c>
      <c r="L5772" s="30">
        <v>0.83409999999999995</v>
      </c>
      <c r="M5772" s="30">
        <v>0.44590000000000002</v>
      </c>
    </row>
    <row r="5773" spans="1:16" x14ac:dyDescent="0.25">
      <c r="A5773" t="s">
        <v>204</v>
      </c>
      <c r="B5773">
        <v>1140</v>
      </c>
      <c r="C5773" t="s">
        <v>204</v>
      </c>
      <c r="D5773">
        <v>1140</v>
      </c>
      <c r="E5773" s="1">
        <v>9.8299999999999998E-2</v>
      </c>
      <c r="F5773" s="1">
        <v>4.9299999999999997E-2</v>
      </c>
      <c r="G5773" s="1">
        <v>4.4000000000000003E-3</v>
      </c>
      <c r="H5773" s="1">
        <v>0.17469999999999999</v>
      </c>
      <c r="I5773" s="1">
        <v>1.0500000000000001E-2</v>
      </c>
      <c r="J5773" s="1">
        <v>0.33429999999999999</v>
      </c>
      <c r="K5773" s="1">
        <v>8.0000000000000004E-4</v>
      </c>
      <c r="L5773" s="1">
        <v>0.75549999999999995</v>
      </c>
      <c r="M5773" s="1">
        <v>0.41089999999999999</v>
      </c>
      <c r="N5773" s="1">
        <v>8.9999999999999998E-4</v>
      </c>
      <c r="O5773" s="1">
        <v>1.8E-3</v>
      </c>
    </row>
    <row r="5775" spans="1:16" x14ac:dyDescent="0.25">
      <c r="A5775" t="s">
        <v>1146</v>
      </c>
    </row>
    <row r="5776" spans="1:16" x14ac:dyDescent="0.25">
      <c r="A5776" t="s">
        <v>190</v>
      </c>
      <c r="B5776" t="s">
        <v>206</v>
      </c>
      <c r="C5776" t="s">
        <v>195</v>
      </c>
      <c r="D5776" t="s">
        <v>189</v>
      </c>
      <c r="E5776" t="s">
        <v>196</v>
      </c>
      <c r="F5776" t="s">
        <v>1138</v>
      </c>
      <c r="G5776" t="s">
        <v>1139</v>
      </c>
      <c r="H5776" t="s">
        <v>220</v>
      </c>
      <c r="I5776" t="s">
        <v>1140</v>
      </c>
      <c r="J5776" t="s">
        <v>235</v>
      </c>
      <c r="K5776" t="s">
        <v>1141</v>
      </c>
      <c r="L5776" t="s">
        <v>215</v>
      </c>
      <c r="M5776" t="s">
        <v>1142</v>
      </c>
      <c r="N5776" t="s">
        <v>1143</v>
      </c>
      <c r="O5776" t="s">
        <v>1144</v>
      </c>
      <c r="P5776" t="s">
        <v>1145</v>
      </c>
    </row>
    <row r="5777" spans="1:16" s="29" customFormat="1" x14ac:dyDescent="0.25">
      <c r="A5777" s="29" t="s">
        <v>198</v>
      </c>
      <c r="B5777" s="29" t="s">
        <v>228</v>
      </c>
      <c r="C5777" s="29">
        <v>20</v>
      </c>
      <c r="D5777" s="29" t="s">
        <v>197</v>
      </c>
      <c r="E5777" s="29">
        <v>1140</v>
      </c>
      <c r="F5777" s="30">
        <v>0.1211</v>
      </c>
      <c r="I5777" s="30">
        <v>0.22470000000000001</v>
      </c>
      <c r="K5777" s="30">
        <v>0.51780000000000004</v>
      </c>
      <c r="M5777" s="30">
        <v>0.72660000000000002</v>
      </c>
      <c r="N5777" s="30">
        <v>0.14099999999999999</v>
      </c>
    </row>
    <row r="5778" spans="1:16" x14ac:dyDescent="0.25">
      <c r="A5778" t="s">
        <v>198</v>
      </c>
      <c r="B5778" t="s">
        <v>229</v>
      </c>
      <c r="C5778">
        <v>36</v>
      </c>
      <c r="D5778" t="s">
        <v>197</v>
      </c>
      <c r="E5778">
        <v>1140</v>
      </c>
      <c r="F5778" s="1">
        <v>0.18260000000000001</v>
      </c>
      <c r="H5778" s="1">
        <v>1.9099999999999999E-2</v>
      </c>
      <c r="I5778" s="1">
        <v>0.22170000000000001</v>
      </c>
      <c r="K5778" s="1">
        <v>0.50929999999999997</v>
      </c>
      <c r="M5778" s="1">
        <v>0.8175</v>
      </c>
      <c r="N5778" s="1">
        <v>0.34110000000000001</v>
      </c>
    </row>
    <row r="5779" spans="1:16" x14ac:dyDescent="0.25">
      <c r="A5779" t="s">
        <v>198</v>
      </c>
      <c r="B5779" t="s">
        <v>228</v>
      </c>
      <c r="C5779">
        <v>80</v>
      </c>
      <c r="D5779" t="s">
        <v>199</v>
      </c>
      <c r="E5779">
        <v>1140</v>
      </c>
      <c r="F5779" s="1">
        <v>0.1731</v>
      </c>
      <c r="G5779" s="1">
        <v>0.13619999999999999</v>
      </c>
      <c r="H5779" s="1">
        <v>2.5999999999999999E-3</v>
      </c>
      <c r="I5779" s="1">
        <v>0.31180000000000002</v>
      </c>
      <c r="J5779" s="1">
        <v>7.0000000000000001E-3</v>
      </c>
      <c r="K5779" s="1">
        <v>0.36799999999999999</v>
      </c>
      <c r="M5779" s="1">
        <v>0.57730000000000004</v>
      </c>
      <c r="N5779" s="1">
        <v>0.31530000000000002</v>
      </c>
    </row>
    <row r="5780" spans="1:16" x14ac:dyDescent="0.25">
      <c r="A5780" t="s">
        <v>198</v>
      </c>
      <c r="B5780" t="s">
        <v>229</v>
      </c>
      <c r="C5780">
        <v>113</v>
      </c>
      <c r="D5780" t="s">
        <v>199</v>
      </c>
      <c r="E5780">
        <v>1140</v>
      </c>
      <c r="F5780" s="1">
        <v>0.14380000000000001</v>
      </c>
      <c r="G5780" s="1">
        <v>2.4500000000000001E-2</v>
      </c>
      <c r="H5780" s="1">
        <v>9.5999999999999992E-3</v>
      </c>
      <c r="I5780" s="1">
        <v>0.17280000000000001</v>
      </c>
      <c r="J5780" s="1">
        <v>5.1000000000000004E-3</v>
      </c>
      <c r="K5780" s="1">
        <v>0.34260000000000002</v>
      </c>
      <c r="M5780" s="1">
        <v>0.79259999999999997</v>
      </c>
      <c r="N5780" s="1">
        <v>0.31080000000000002</v>
      </c>
      <c r="O5780" s="1">
        <v>5.1000000000000004E-3</v>
      </c>
    </row>
    <row r="5781" spans="1:16" x14ac:dyDescent="0.25">
      <c r="A5781" t="s">
        <v>198</v>
      </c>
      <c r="B5781" t="s">
        <v>229</v>
      </c>
      <c r="C5781">
        <v>131</v>
      </c>
      <c r="D5781" t="s">
        <v>200</v>
      </c>
      <c r="E5781">
        <v>1140</v>
      </c>
      <c r="F5781" s="1">
        <v>0.12520000000000001</v>
      </c>
      <c r="G5781" s="1">
        <v>8.5500000000000007E-2</v>
      </c>
      <c r="I5781" s="1">
        <v>0.1512</v>
      </c>
      <c r="J5781" s="1">
        <v>2.0999999999999999E-3</v>
      </c>
      <c r="K5781" s="1">
        <v>0.29809999999999998</v>
      </c>
      <c r="M5781" s="1">
        <v>0.61129999999999995</v>
      </c>
      <c r="N5781" s="1">
        <v>0.49030000000000001</v>
      </c>
    </row>
    <row r="5782" spans="1:16" x14ac:dyDescent="0.25">
      <c r="A5782" t="s">
        <v>198</v>
      </c>
      <c r="B5782" t="s">
        <v>228</v>
      </c>
      <c r="C5782">
        <v>61</v>
      </c>
      <c r="D5782" t="s">
        <v>200</v>
      </c>
      <c r="E5782">
        <v>1140</v>
      </c>
      <c r="F5782" s="1">
        <v>0.1119</v>
      </c>
      <c r="G5782" s="1">
        <v>1.37E-2</v>
      </c>
      <c r="H5782" s="1">
        <v>8.0000000000000004E-4</v>
      </c>
      <c r="I5782" s="1">
        <v>0.21410000000000001</v>
      </c>
      <c r="K5782" s="1">
        <v>0.44550000000000001</v>
      </c>
      <c r="M5782" s="1">
        <v>0.62019999999999997</v>
      </c>
      <c r="N5782" s="1">
        <v>0.28420000000000001</v>
      </c>
      <c r="P5782" s="1">
        <v>3.3700000000000001E-2</v>
      </c>
    </row>
    <row r="5783" spans="1:16" x14ac:dyDescent="0.25">
      <c r="A5783" t="s">
        <v>198</v>
      </c>
      <c r="B5783" t="s">
        <v>228</v>
      </c>
      <c r="C5783">
        <v>56</v>
      </c>
      <c r="D5783" t="s">
        <v>201</v>
      </c>
      <c r="E5783">
        <v>1140</v>
      </c>
      <c r="F5783" s="1">
        <v>8.8200000000000001E-2</v>
      </c>
      <c r="G5783" s="1">
        <v>0.13370000000000001</v>
      </c>
      <c r="I5783" s="1">
        <v>0.1961</v>
      </c>
      <c r="K5783" s="1">
        <v>0.39140000000000003</v>
      </c>
      <c r="M5783" s="1">
        <v>0.71309999999999996</v>
      </c>
      <c r="N5783" s="1">
        <v>0.43120000000000003</v>
      </c>
    </row>
    <row r="5784" spans="1:16" x14ac:dyDescent="0.25">
      <c r="A5784" t="s">
        <v>198</v>
      </c>
      <c r="B5784" t="s">
        <v>229</v>
      </c>
      <c r="C5784">
        <v>74</v>
      </c>
      <c r="D5784" t="s">
        <v>201</v>
      </c>
      <c r="E5784">
        <v>1140</v>
      </c>
      <c r="F5784" s="1">
        <v>0.12889999999999999</v>
      </c>
      <c r="G5784" s="1">
        <v>4.7999999999999996E-3</v>
      </c>
      <c r="H5784" s="1">
        <v>2.6700000000000002E-2</v>
      </c>
      <c r="I5784" s="1">
        <v>0.1757</v>
      </c>
      <c r="J5784" s="1">
        <v>4.7100000000000003E-2</v>
      </c>
      <c r="K5784" s="1">
        <v>0.2167</v>
      </c>
      <c r="M5784" s="1">
        <v>0.53580000000000005</v>
      </c>
      <c r="N5784" s="1">
        <v>0.37680000000000002</v>
      </c>
    </row>
    <row r="5785" spans="1:16" s="29" customFormat="1" x14ac:dyDescent="0.25">
      <c r="A5785" s="29" t="s">
        <v>198</v>
      </c>
      <c r="B5785" s="29" t="s">
        <v>228</v>
      </c>
      <c r="C5785" s="29">
        <v>17</v>
      </c>
      <c r="D5785" s="29" t="s">
        <v>202</v>
      </c>
      <c r="E5785" s="29">
        <v>1140</v>
      </c>
      <c r="F5785" s="30">
        <v>0.1527</v>
      </c>
      <c r="G5785" s="30">
        <v>9.2399999999999996E-2</v>
      </c>
      <c r="I5785" s="30">
        <v>0.57969999999999999</v>
      </c>
      <c r="K5785" s="30">
        <v>0.28649999999999998</v>
      </c>
      <c r="M5785" s="30">
        <v>0.55769999999999997</v>
      </c>
      <c r="N5785" s="30">
        <v>0.33639999999999998</v>
      </c>
    </row>
    <row r="5786" spans="1:16" s="29" customFormat="1" x14ac:dyDescent="0.25">
      <c r="A5786" s="29" t="s">
        <v>198</v>
      </c>
      <c r="B5786" s="29" t="s">
        <v>229</v>
      </c>
      <c r="C5786" s="29">
        <v>28</v>
      </c>
      <c r="D5786" s="29" t="s">
        <v>202</v>
      </c>
      <c r="E5786" s="29">
        <v>1140</v>
      </c>
      <c r="F5786" s="30">
        <v>0.19789999999999999</v>
      </c>
      <c r="G5786" s="30">
        <v>3.1E-2</v>
      </c>
      <c r="I5786" s="30">
        <v>9.9099999999999994E-2</v>
      </c>
      <c r="J5786" s="30">
        <v>4.99E-2</v>
      </c>
      <c r="K5786" s="30">
        <v>0.18959999999999999</v>
      </c>
      <c r="M5786" s="30">
        <v>0.81579999999999997</v>
      </c>
      <c r="N5786" s="30">
        <v>0.58530000000000004</v>
      </c>
    </row>
    <row r="5787" spans="1:16" x14ac:dyDescent="0.25">
      <c r="A5787" t="s">
        <v>203</v>
      </c>
      <c r="B5787" t="s">
        <v>229</v>
      </c>
      <c r="C5787">
        <v>147</v>
      </c>
      <c r="D5787" t="s">
        <v>199</v>
      </c>
      <c r="E5787">
        <v>1140</v>
      </c>
      <c r="F5787" s="1">
        <v>3.0300000000000001E-2</v>
      </c>
      <c r="G5787" s="1">
        <v>1.24E-2</v>
      </c>
      <c r="I5787" s="1">
        <v>0.12640000000000001</v>
      </c>
      <c r="J5787" s="1">
        <v>2.5000000000000001E-2</v>
      </c>
      <c r="K5787" s="1">
        <v>0.2361</v>
      </c>
      <c r="L5787" s="1">
        <v>1.5E-3</v>
      </c>
      <c r="M5787" s="1">
        <v>0.89529999999999998</v>
      </c>
      <c r="N5787" s="1">
        <v>0.40150000000000002</v>
      </c>
      <c r="P5787" s="1">
        <v>1.6000000000000001E-3</v>
      </c>
    </row>
    <row r="5788" spans="1:16" x14ac:dyDescent="0.25">
      <c r="A5788" t="s">
        <v>203</v>
      </c>
      <c r="B5788" t="s">
        <v>228</v>
      </c>
      <c r="C5788">
        <v>76</v>
      </c>
      <c r="D5788" t="s">
        <v>199</v>
      </c>
      <c r="E5788">
        <v>1140</v>
      </c>
      <c r="F5788" s="1">
        <v>3.49E-2</v>
      </c>
      <c r="G5788" s="1">
        <v>0.1497</v>
      </c>
      <c r="H5788" s="1">
        <v>1.0999999999999999E-2</v>
      </c>
      <c r="I5788" s="1">
        <v>0.20180000000000001</v>
      </c>
      <c r="J5788" s="1">
        <v>1.6999999999999999E-3</v>
      </c>
      <c r="K5788" s="1">
        <v>0.3478</v>
      </c>
      <c r="M5788" s="1">
        <v>0.75170000000000003</v>
      </c>
      <c r="N5788" s="1">
        <v>0.49590000000000001</v>
      </c>
    </row>
    <row r="5789" spans="1:16" x14ac:dyDescent="0.25">
      <c r="A5789" t="s">
        <v>203</v>
      </c>
      <c r="B5789" t="s">
        <v>229</v>
      </c>
      <c r="C5789">
        <v>98</v>
      </c>
      <c r="D5789" t="s">
        <v>200</v>
      </c>
      <c r="E5789">
        <v>1140</v>
      </c>
      <c r="F5789" s="1">
        <v>2.3999999999999998E-3</v>
      </c>
      <c r="G5789" s="1">
        <v>7.9699999999999993E-2</v>
      </c>
      <c r="I5789" s="1">
        <v>3.09E-2</v>
      </c>
      <c r="J5789" s="1">
        <v>5.9999999999999995E-4</v>
      </c>
      <c r="K5789" s="1">
        <v>0.3982</v>
      </c>
      <c r="M5789" s="1">
        <v>0.86339999999999995</v>
      </c>
      <c r="N5789" s="1">
        <v>0.49059999999999998</v>
      </c>
    </row>
    <row r="5790" spans="1:16" x14ac:dyDescent="0.25">
      <c r="A5790" t="s">
        <v>203</v>
      </c>
      <c r="B5790" t="s">
        <v>228</v>
      </c>
      <c r="C5790">
        <v>47</v>
      </c>
      <c r="D5790" t="s">
        <v>200</v>
      </c>
      <c r="E5790">
        <v>1140</v>
      </c>
      <c r="F5790" s="1">
        <v>1.9800000000000002E-2</v>
      </c>
      <c r="G5790" s="1">
        <v>2.1600000000000001E-2</v>
      </c>
      <c r="I5790" s="1">
        <v>0.19239999999999999</v>
      </c>
      <c r="K5790" s="1">
        <v>0.31990000000000002</v>
      </c>
      <c r="M5790" s="1">
        <v>0.8125</v>
      </c>
      <c r="N5790" s="1">
        <v>0.53559999999999997</v>
      </c>
    </row>
    <row r="5791" spans="1:16" x14ac:dyDescent="0.25">
      <c r="A5791" t="s">
        <v>203</v>
      </c>
      <c r="B5791" t="s">
        <v>229</v>
      </c>
      <c r="C5791">
        <v>40</v>
      </c>
      <c r="D5791" t="s">
        <v>201</v>
      </c>
      <c r="E5791">
        <v>1140</v>
      </c>
      <c r="F5791" s="1">
        <v>1.09E-2</v>
      </c>
      <c r="G5791" s="1">
        <v>8.7400000000000005E-2</v>
      </c>
      <c r="H5791" s="1">
        <v>1.09E-2</v>
      </c>
      <c r="I5791" s="1">
        <v>0.28160000000000002</v>
      </c>
      <c r="J5791" s="1">
        <v>1.09E-2</v>
      </c>
      <c r="K5791" s="1">
        <v>0.24829999999999999</v>
      </c>
      <c r="M5791" s="1">
        <v>0.82799999999999996</v>
      </c>
      <c r="N5791" s="1">
        <v>0.62390000000000001</v>
      </c>
      <c r="P5791" s="1">
        <v>1.09E-2</v>
      </c>
    </row>
    <row r="5792" spans="1:16" x14ac:dyDescent="0.25">
      <c r="A5792" t="s">
        <v>203</v>
      </c>
      <c r="B5792" t="s">
        <v>228</v>
      </c>
      <c r="C5792">
        <v>83</v>
      </c>
      <c r="D5792" t="s">
        <v>201</v>
      </c>
      <c r="E5792">
        <v>1140</v>
      </c>
      <c r="F5792" s="1">
        <v>1.5299999999999999E-2</v>
      </c>
      <c r="G5792" s="1">
        <v>0.2359</v>
      </c>
      <c r="H5792" s="1">
        <v>2.2000000000000001E-3</v>
      </c>
      <c r="I5792" s="1">
        <v>0.3105</v>
      </c>
      <c r="K5792" s="1">
        <v>0.22800000000000001</v>
      </c>
      <c r="M5792" s="1">
        <v>0.72809999999999997</v>
      </c>
      <c r="N5792" s="1">
        <v>0.34339999999999998</v>
      </c>
      <c r="O5792" s="1">
        <v>2.1100000000000001E-2</v>
      </c>
    </row>
    <row r="5793" spans="1:16" s="29" customFormat="1" x14ac:dyDescent="0.25">
      <c r="A5793" s="29" t="s">
        <v>203</v>
      </c>
      <c r="B5793" s="29" t="s">
        <v>228</v>
      </c>
      <c r="C5793" s="29">
        <v>7</v>
      </c>
      <c r="D5793" s="29" t="s">
        <v>202</v>
      </c>
      <c r="E5793" s="29">
        <v>1140</v>
      </c>
      <c r="I5793" s="30">
        <v>0.2591</v>
      </c>
      <c r="K5793" s="30">
        <v>0.1002</v>
      </c>
      <c r="M5793" s="30">
        <v>0.84109999999999996</v>
      </c>
      <c r="N5793" s="30">
        <v>0.76690000000000003</v>
      </c>
    </row>
    <row r="5794" spans="1:16" s="29" customFormat="1" x14ac:dyDescent="0.25">
      <c r="A5794" s="29" t="s">
        <v>203</v>
      </c>
      <c r="B5794" s="29" t="s">
        <v>229</v>
      </c>
      <c r="C5794" s="29">
        <v>9</v>
      </c>
      <c r="D5794" s="29" t="s">
        <v>202</v>
      </c>
      <c r="E5794" s="29">
        <v>1140</v>
      </c>
      <c r="I5794" s="30">
        <v>0.32919999999999999</v>
      </c>
      <c r="K5794" s="30">
        <v>0.39500000000000002</v>
      </c>
      <c r="L5794" s="30">
        <v>5.5E-2</v>
      </c>
      <c r="M5794" s="30">
        <v>0.83130000000000004</v>
      </c>
      <c r="N5794" s="30">
        <v>0.313</v>
      </c>
    </row>
    <row r="5795" spans="1:16" x14ac:dyDescent="0.25">
      <c r="A5795" t="s">
        <v>204</v>
      </c>
      <c r="B5795" t="s">
        <v>204</v>
      </c>
      <c r="C5795">
        <v>1140</v>
      </c>
      <c r="D5795" t="s">
        <v>204</v>
      </c>
      <c r="E5795">
        <v>1140</v>
      </c>
      <c r="F5795" s="1">
        <v>9.8299999999999998E-2</v>
      </c>
      <c r="G5795" s="1">
        <v>4.9299999999999997E-2</v>
      </c>
      <c r="H5795" s="1">
        <v>4.4000000000000003E-3</v>
      </c>
      <c r="I5795" s="1">
        <v>0.17469999999999999</v>
      </c>
      <c r="J5795" s="1">
        <v>1.0500000000000001E-2</v>
      </c>
      <c r="K5795" s="1">
        <v>0.33429999999999999</v>
      </c>
      <c r="L5795" s="1">
        <v>8.0000000000000004E-4</v>
      </c>
      <c r="M5795" s="1">
        <v>0.75549999999999995</v>
      </c>
      <c r="N5795" s="1">
        <v>0.41089999999999999</v>
      </c>
      <c r="O5795" s="1">
        <v>8.9999999999999998E-4</v>
      </c>
      <c r="P5795" s="1">
        <v>1.8E-3</v>
      </c>
    </row>
    <row r="5797" spans="1:16" x14ac:dyDescent="0.25">
      <c r="A5797" t="s">
        <v>1147</v>
      </c>
    </row>
    <row r="5798" spans="1:16" x14ac:dyDescent="0.25">
      <c r="A5798" t="s">
        <v>190</v>
      </c>
      <c r="B5798" t="s">
        <v>206</v>
      </c>
      <c r="C5798" t="s">
        <v>195</v>
      </c>
      <c r="D5798" t="s">
        <v>189</v>
      </c>
      <c r="E5798" t="s">
        <v>196</v>
      </c>
      <c r="F5798" t="s">
        <v>1138</v>
      </c>
      <c r="G5798" t="s">
        <v>1139</v>
      </c>
      <c r="H5798" t="s">
        <v>220</v>
      </c>
      <c r="I5798" t="s">
        <v>1140</v>
      </c>
      <c r="J5798" t="s">
        <v>235</v>
      </c>
      <c r="K5798" t="s">
        <v>1141</v>
      </c>
      <c r="L5798" t="s">
        <v>215</v>
      </c>
      <c r="M5798" t="s">
        <v>1142</v>
      </c>
      <c r="N5798" t="s">
        <v>1143</v>
      </c>
      <c r="O5798" t="s">
        <v>1144</v>
      </c>
      <c r="P5798" t="s">
        <v>1145</v>
      </c>
    </row>
    <row r="5799" spans="1:16" x14ac:dyDescent="0.25">
      <c r="A5799" t="s">
        <v>198</v>
      </c>
      <c r="B5799" t="s">
        <v>348</v>
      </c>
      <c r="C5799">
        <v>54</v>
      </c>
      <c r="D5799" t="s">
        <v>197</v>
      </c>
      <c r="E5799">
        <v>1140</v>
      </c>
      <c r="F5799" s="1">
        <v>0.1628</v>
      </c>
      <c r="H5799" s="1">
        <v>1.1599999999999999E-2</v>
      </c>
      <c r="I5799" s="1">
        <v>0.21340000000000001</v>
      </c>
      <c r="K5799" s="1">
        <v>0.51319999999999999</v>
      </c>
      <c r="M5799" s="1">
        <v>0.78979999999999995</v>
      </c>
      <c r="N5799" s="1">
        <v>0.26790000000000003</v>
      </c>
    </row>
    <row r="5800" spans="1:16" s="29" customFormat="1" x14ac:dyDescent="0.25">
      <c r="A5800" s="29" t="s">
        <v>198</v>
      </c>
      <c r="B5800" s="29" t="s">
        <v>349</v>
      </c>
      <c r="C5800" s="29">
        <v>2</v>
      </c>
      <c r="D5800" s="29" t="s">
        <v>197</v>
      </c>
      <c r="E5800" s="29">
        <v>1140</v>
      </c>
      <c r="I5800" s="30">
        <v>0.5</v>
      </c>
      <c r="K5800" s="30">
        <v>0.5</v>
      </c>
      <c r="M5800" s="30">
        <v>0.5</v>
      </c>
    </row>
    <row r="5801" spans="1:16" s="29" customFormat="1" x14ac:dyDescent="0.25">
      <c r="A5801" s="29" t="s">
        <v>198</v>
      </c>
      <c r="B5801" s="29" t="s">
        <v>348</v>
      </c>
      <c r="C5801" s="29">
        <v>24</v>
      </c>
      <c r="D5801" s="29" t="s">
        <v>199</v>
      </c>
      <c r="E5801" s="29">
        <v>1140</v>
      </c>
      <c r="F5801" s="30">
        <v>0.1051</v>
      </c>
      <c r="G5801" s="30">
        <v>2.1000000000000001E-2</v>
      </c>
      <c r="I5801" s="30">
        <v>0.1855</v>
      </c>
      <c r="K5801" s="30">
        <v>0.68920000000000003</v>
      </c>
      <c r="M5801" s="30">
        <v>0.59570000000000001</v>
      </c>
      <c r="N5801" s="30">
        <v>0.28029999999999999</v>
      </c>
    </row>
    <row r="5802" spans="1:16" x14ac:dyDescent="0.25">
      <c r="A5802" t="s">
        <v>198</v>
      </c>
      <c r="B5802" t="s">
        <v>349</v>
      </c>
      <c r="C5802">
        <v>60</v>
      </c>
      <c r="D5802" t="s">
        <v>199</v>
      </c>
      <c r="E5802">
        <v>1140</v>
      </c>
      <c r="F5802" s="1">
        <v>0.16850000000000001</v>
      </c>
      <c r="G5802" s="1">
        <v>6.4899999999999999E-2</v>
      </c>
      <c r="H5802" s="1">
        <v>7.4000000000000003E-3</v>
      </c>
      <c r="I5802" s="1">
        <v>0.14460000000000001</v>
      </c>
      <c r="J5802" s="1">
        <v>3.7000000000000002E-3</v>
      </c>
      <c r="K5802" s="1">
        <v>0.18310000000000001</v>
      </c>
      <c r="M5802" s="1">
        <v>0.71819999999999995</v>
      </c>
      <c r="N5802" s="1">
        <v>0.40600000000000003</v>
      </c>
    </row>
    <row r="5803" spans="1:16" x14ac:dyDescent="0.25">
      <c r="A5803" t="s">
        <v>198</v>
      </c>
      <c r="B5803" t="s">
        <v>350</v>
      </c>
      <c r="C5803">
        <v>109</v>
      </c>
      <c r="D5803" t="s">
        <v>199</v>
      </c>
      <c r="E5803">
        <v>1140</v>
      </c>
      <c r="F5803" s="1">
        <v>0.1464</v>
      </c>
      <c r="G5803" s="1">
        <v>4.6600000000000003E-2</v>
      </c>
      <c r="H5803" s="1">
        <v>1.11E-2</v>
      </c>
      <c r="I5803" s="1">
        <v>0.28420000000000001</v>
      </c>
      <c r="J5803" s="1">
        <v>9.5999999999999992E-3</v>
      </c>
      <c r="K5803" s="1">
        <v>0.42120000000000002</v>
      </c>
      <c r="M5803" s="1">
        <v>0.81620000000000004</v>
      </c>
      <c r="N5803" s="1">
        <v>0.21510000000000001</v>
      </c>
      <c r="O5803" s="1">
        <v>9.5999999999999992E-3</v>
      </c>
    </row>
    <row r="5804" spans="1:16" x14ac:dyDescent="0.25">
      <c r="A5804" t="s">
        <v>198</v>
      </c>
      <c r="B5804" t="s">
        <v>350</v>
      </c>
      <c r="C5804">
        <v>50</v>
      </c>
      <c r="D5804" t="s">
        <v>200</v>
      </c>
      <c r="E5804">
        <v>1140</v>
      </c>
      <c r="F5804" s="1">
        <v>3.7600000000000001E-2</v>
      </c>
      <c r="G5804" s="1">
        <v>3.3099999999999997E-2</v>
      </c>
      <c r="H5804" s="1">
        <v>2.2000000000000001E-3</v>
      </c>
      <c r="I5804" s="1">
        <v>0.33629999999999999</v>
      </c>
      <c r="K5804" s="1">
        <v>0.2989</v>
      </c>
      <c r="M5804" s="1">
        <v>0.56769999999999998</v>
      </c>
      <c r="N5804" s="1">
        <v>0.46679999999999999</v>
      </c>
    </row>
    <row r="5805" spans="1:16" x14ac:dyDescent="0.25">
      <c r="A5805" t="s">
        <v>198</v>
      </c>
      <c r="B5805" t="s">
        <v>348</v>
      </c>
      <c r="C5805">
        <v>109</v>
      </c>
      <c r="D5805" t="s">
        <v>200</v>
      </c>
      <c r="E5805">
        <v>1140</v>
      </c>
      <c r="F5805" s="1">
        <v>0.12909999999999999</v>
      </c>
      <c r="G5805" s="1">
        <v>7.51E-2</v>
      </c>
      <c r="I5805" s="1">
        <v>0.13350000000000001</v>
      </c>
      <c r="K5805" s="1">
        <v>0.33410000000000001</v>
      </c>
      <c r="M5805" s="1">
        <v>0.61670000000000003</v>
      </c>
      <c r="N5805" s="1">
        <v>0.44519999999999998</v>
      </c>
    </row>
    <row r="5806" spans="1:16" x14ac:dyDescent="0.25">
      <c r="A5806" t="s">
        <v>198</v>
      </c>
      <c r="B5806" t="s">
        <v>349</v>
      </c>
      <c r="C5806">
        <v>33</v>
      </c>
      <c r="D5806" t="s">
        <v>200</v>
      </c>
      <c r="E5806">
        <v>1140</v>
      </c>
      <c r="F5806" s="1">
        <v>0.14760000000000001</v>
      </c>
      <c r="G5806" s="1">
        <v>7.1999999999999998E-3</v>
      </c>
      <c r="I5806" s="1">
        <v>0.34499999999999997</v>
      </c>
      <c r="J5806" s="1">
        <v>2.1399999999999999E-2</v>
      </c>
      <c r="K5806" s="1">
        <v>0.43030000000000002</v>
      </c>
      <c r="M5806" s="1">
        <v>0.63919999999999999</v>
      </c>
      <c r="N5806" s="1">
        <v>0.2757</v>
      </c>
      <c r="P5806" s="1">
        <v>0.126</v>
      </c>
    </row>
    <row r="5807" spans="1:16" x14ac:dyDescent="0.25">
      <c r="A5807" t="s">
        <v>198</v>
      </c>
      <c r="B5807" t="s">
        <v>349</v>
      </c>
      <c r="C5807">
        <v>72</v>
      </c>
      <c r="D5807" t="s">
        <v>201</v>
      </c>
      <c r="E5807">
        <v>1140</v>
      </c>
      <c r="F5807" s="1">
        <v>0.1263</v>
      </c>
      <c r="G5807" s="1">
        <v>2.5399999999999999E-2</v>
      </c>
      <c r="H5807" s="1">
        <v>2.7900000000000001E-2</v>
      </c>
      <c r="I5807" s="1">
        <v>0.2049</v>
      </c>
      <c r="J5807" s="1">
        <v>4.9200000000000001E-2</v>
      </c>
      <c r="K5807" s="1">
        <v>0.182</v>
      </c>
      <c r="M5807" s="1">
        <v>0.5393</v>
      </c>
      <c r="N5807" s="1">
        <v>0.39579999999999999</v>
      </c>
    </row>
    <row r="5808" spans="1:16" s="29" customFormat="1" x14ac:dyDescent="0.25">
      <c r="A5808" s="29" t="s">
        <v>198</v>
      </c>
      <c r="B5808" s="29" t="s">
        <v>350</v>
      </c>
      <c r="C5808" s="29">
        <v>29</v>
      </c>
      <c r="D5808" s="29" t="s">
        <v>201</v>
      </c>
      <c r="E5808" s="29">
        <v>1140</v>
      </c>
      <c r="F5808" s="30">
        <v>2.9700000000000001E-2</v>
      </c>
      <c r="G5808" s="30">
        <v>4.3700000000000003E-2</v>
      </c>
      <c r="I5808" s="30">
        <v>0.34889999999999999</v>
      </c>
      <c r="K5808" s="30">
        <v>0.53390000000000004</v>
      </c>
      <c r="M5808" s="30">
        <v>0.50739999999999996</v>
      </c>
      <c r="N5808" s="30">
        <v>0.2046</v>
      </c>
    </row>
    <row r="5809" spans="1:16" s="29" customFormat="1" x14ac:dyDescent="0.25">
      <c r="A5809" s="29" t="s">
        <v>198</v>
      </c>
      <c r="B5809" s="29" t="s">
        <v>348</v>
      </c>
      <c r="C5809" s="29">
        <v>29</v>
      </c>
      <c r="D5809" s="29" t="s">
        <v>201</v>
      </c>
      <c r="E5809" s="29">
        <v>1140</v>
      </c>
      <c r="F5809" s="30">
        <v>0.1128</v>
      </c>
      <c r="G5809" s="30">
        <v>6.83E-2</v>
      </c>
      <c r="I5809" s="30">
        <v>7.3800000000000004E-2</v>
      </c>
      <c r="K5809" s="30">
        <v>0.44929999999999998</v>
      </c>
      <c r="M5809" s="30">
        <v>0.71589999999999998</v>
      </c>
      <c r="N5809" s="30">
        <v>0.40660000000000002</v>
      </c>
    </row>
    <row r="5810" spans="1:16" x14ac:dyDescent="0.25">
      <c r="A5810" t="s">
        <v>198</v>
      </c>
      <c r="B5810" t="s">
        <v>348</v>
      </c>
      <c r="C5810">
        <v>45</v>
      </c>
      <c r="D5810" t="s">
        <v>202</v>
      </c>
      <c r="E5810">
        <v>1140</v>
      </c>
      <c r="F5810" s="1">
        <v>0.182</v>
      </c>
      <c r="G5810" s="1">
        <v>5.2600000000000001E-2</v>
      </c>
      <c r="I5810" s="1">
        <v>0.2676</v>
      </c>
      <c r="J5810" s="1">
        <v>3.2399999999999998E-2</v>
      </c>
      <c r="K5810" s="1">
        <v>0.22359999999999999</v>
      </c>
      <c r="M5810" s="1">
        <v>0.72519999999999996</v>
      </c>
      <c r="N5810" s="1">
        <v>0.498</v>
      </c>
    </row>
    <row r="5811" spans="1:16" x14ac:dyDescent="0.25">
      <c r="A5811" t="s">
        <v>203</v>
      </c>
      <c r="B5811" t="s">
        <v>349</v>
      </c>
      <c r="C5811">
        <v>66</v>
      </c>
      <c r="D5811" t="s">
        <v>199</v>
      </c>
      <c r="E5811">
        <v>1140</v>
      </c>
      <c r="F5811" s="1">
        <v>1.2800000000000001E-2</v>
      </c>
      <c r="G5811" s="1">
        <v>6.2700000000000006E-2</v>
      </c>
      <c r="H5811" s="1">
        <v>4.5999999999999999E-3</v>
      </c>
      <c r="I5811" s="1">
        <v>0.10589999999999999</v>
      </c>
      <c r="K5811" s="1">
        <v>0.1772</v>
      </c>
      <c r="M5811" s="1">
        <v>0.80400000000000005</v>
      </c>
      <c r="N5811" s="1">
        <v>0.29199999999999998</v>
      </c>
    </row>
    <row r="5812" spans="1:16" s="29" customFormat="1" x14ac:dyDescent="0.25">
      <c r="A5812" s="29" t="s">
        <v>203</v>
      </c>
      <c r="B5812" s="29" t="s">
        <v>348</v>
      </c>
      <c r="C5812" s="29">
        <v>16</v>
      </c>
      <c r="D5812" s="29" t="s">
        <v>199</v>
      </c>
      <c r="E5812" s="29">
        <v>1140</v>
      </c>
      <c r="G5812" s="30">
        <v>2.7400000000000001E-2</v>
      </c>
      <c r="I5812" s="30">
        <v>5.4899999999999997E-2</v>
      </c>
      <c r="K5812" s="30">
        <v>0.2165</v>
      </c>
      <c r="M5812" s="30">
        <v>1</v>
      </c>
      <c r="N5812" s="30">
        <v>0.4713</v>
      </c>
    </row>
    <row r="5813" spans="1:16" x14ac:dyDescent="0.25">
      <c r="A5813" t="s">
        <v>203</v>
      </c>
      <c r="B5813" t="s">
        <v>350</v>
      </c>
      <c r="C5813">
        <v>141</v>
      </c>
      <c r="D5813" t="s">
        <v>199</v>
      </c>
      <c r="E5813">
        <v>1140</v>
      </c>
      <c r="F5813" s="1">
        <v>0.04</v>
      </c>
      <c r="G5813" s="1">
        <v>1.9E-2</v>
      </c>
      <c r="H5813" s="1">
        <v>4.0000000000000002E-4</v>
      </c>
      <c r="I5813" s="1">
        <v>0.15409999999999999</v>
      </c>
      <c r="J5813" s="1">
        <v>3.1699999999999999E-2</v>
      </c>
      <c r="K5813" s="1">
        <v>0.28370000000000001</v>
      </c>
      <c r="L5813" s="1">
        <v>1.9E-3</v>
      </c>
      <c r="M5813" s="1">
        <v>0.89729999999999999</v>
      </c>
      <c r="N5813" s="1">
        <v>0.46100000000000002</v>
      </c>
      <c r="P5813" s="1">
        <v>2E-3</v>
      </c>
    </row>
    <row r="5814" spans="1:16" x14ac:dyDescent="0.25">
      <c r="A5814" t="s">
        <v>203</v>
      </c>
      <c r="B5814" t="s">
        <v>348</v>
      </c>
      <c r="C5814">
        <v>70</v>
      </c>
      <c r="D5814" t="s">
        <v>200</v>
      </c>
      <c r="E5814">
        <v>1140</v>
      </c>
      <c r="F5814" s="1">
        <v>4.7999999999999996E-3</v>
      </c>
      <c r="G5814" s="1">
        <v>5.7599999999999998E-2</v>
      </c>
      <c r="I5814" s="1">
        <v>6.4899999999999999E-2</v>
      </c>
      <c r="K5814" s="1">
        <v>0.38669999999999999</v>
      </c>
      <c r="M5814" s="1">
        <v>0.90159999999999996</v>
      </c>
      <c r="N5814" s="1">
        <v>0.49859999999999999</v>
      </c>
    </row>
    <row r="5815" spans="1:16" x14ac:dyDescent="0.25">
      <c r="A5815" t="s">
        <v>203</v>
      </c>
      <c r="B5815" t="s">
        <v>349</v>
      </c>
      <c r="C5815">
        <v>40</v>
      </c>
      <c r="D5815" t="s">
        <v>200</v>
      </c>
      <c r="E5815">
        <v>1140</v>
      </c>
      <c r="F5815" s="1">
        <v>1.7600000000000001E-2</v>
      </c>
      <c r="G5815" s="1">
        <v>8.9399999999999993E-2</v>
      </c>
      <c r="I5815" s="1">
        <v>5.16E-2</v>
      </c>
      <c r="J5815" s="1">
        <v>4.4000000000000003E-3</v>
      </c>
      <c r="K5815" s="1">
        <v>0.47270000000000001</v>
      </c>
      <c r="M5815" s="1">
        <v>0.67390000000000005</v>
      </c>
      <c r="N5815" s="1">
        <v>0.49130000000000001</v>
      </c>
    </row>
    <row r="5816" spans="1:16" x14ac:dyDescent="0.25">
      <c r="A5816" t="s">
        <v>203</v>
      </c>
      <c r="B5816" t="s">
        <v>350</v>
      </c>
      <c r="C5816">
        <v>35</v>
      </c>
      <c r="D5816" t="s">
        <v>200</v>
      </c>
      <c r="E5816">
        <v>1140</v>
      </c>
      <c r="G5816" s="1">
        <v>0.19739999999999999</v>
      </c>
      <c r="I5816" s="1">
        <v>7.1999999999999995E-2</v>
      </c>
      <c r="K5816" s="1">
        <v>0.10199999999999999</v>
      </c>
      <c r="M5816" s="1">
        <v>0.41959999999999997</v>
      </c>
      <c r="N5816" s="1">
        <v>0.53859999999999997</v>
      </c>
    </row>
    <row r="5817" spans="1:16" s="29" customFormat="1" x14ac:dyDescent="0.25">
      <c r="A5817" s="29" t="s">
        <v>203</v>
      </c>
      <c r="B5817" s="29" t="s">
        <v>348</v>
      </c>
      <c r="C5817" s="29">
        <v>22</v>
      </c>
      <c r="D5817" s="29" t="s">
        <v>201</v>
      </c>
      <c r="E5817" s="29">
        <v>1140</v>
      </c>
      <c r="G5817" s="30">
        <v>0.25340000000000001</v>
      </c>
      <c r="I5817" s="30">
        <v>0.25990000000000002</v>
      </c>
      <c r="K5817" s="30">
        <v>0.1348</v>
      </c>
      <c r="M5817" s="30">
        <v>0.72099999999999997</v>
      </c>
      <c r="N5817" s="30">
        <v>0.4103</v>
      </c>
      <c r="O5817" s="30">
        <v>4.2099999999999999E-2</v>
      </c>
    </row>
    <row r="5818" spans="1:16" x14ac:dyDescent="0.25">
      <c r="A5818" t="s">
        <v>203</v>
      </c>
      <c r="B5818" t="s">
        <v>349</v>
      </c>
      <c r="C5818">
        <v>48</v>
      </c>
      <c r="D5818" t="s">
        <v>201</v>
      </c>
      <c r="E5818">
        <v>1140</v>
      </c>
      <c r="F5818" s="1">
        <v>1.6999999999999999E-3</v>
      </c>
      <c r="G5818" s="1">
        <v>0.1341</v>
      </c>
      <c r="H5818" s="1">
        <v>1.6999999999999999E-3</v>
      </c>
      <c r="I5818" s="1">
        <v>0.27510000000000001</v>
      </c>
      <c r="K5818" s="1">
        <v>0.31359999999999999</v>
      </c>
      <c r="M5818" s="1">
        <v>0.91700000000000004</v>
      </c>
      <c r="N5818" s="1">
        <v>0.58430000000000004</v>
      </c>
    </row>
    <row r="5819" spans="1:16" x14ac:dyDescent="0.25">
      <c r="A5819" t="s">
        <v>203</v>
      </c>
      <c r="B5819" t="s">
        <v>350</v>
      </c>
      <c r="C5819">
        <v>53</v>
      </c>
      <c r="D5819" t="s">
        <v>201</v>
      </c>
      <c r="E5819">
        <v>1140</v>
      </c>
      <c r="F5819" s="1">
        <v>6.3700000000000007E-2</v>
      </c>
      <c r="G5819" s="1">
        <v>0.1009</v>
      </c>
      <c r="H5819" s="1">
        <v>3.1800000000000002E-2</v>
      </c>
      <c r="I5819" s="1">
        <v>0.39879999999999999</v>
      </c>
      <c r="J5819" s="1">
        <v>3.1800000000000002E-2</v>
      </c>
      <c r="K5819" s="1">
        <v>0.1333</v>
      </c>
      <c r="M5819" s="1">
        <v>0.43659999999999999</v>
      </c>
      <c r="N5819" s="1">
        <v>0.32429999999999998</v>
      </c>
      <c r="P5819" s="1">
        <v>3.1800000000000002E-2</v>
      </c>
    </row>
    <row r="5820" spans="1:16" s="29" customFormat="1" x14ac:dyDescent="0.25">
      <c r="A5820" s="29" t="s">
        <v>203</v>
      </c>
      <c r="B5820" s="29" t="s">
        <v>348</v>
      </c>
      <c r="C5820" s="29">
        <v>16</v>
      </c>
      <c r="D5820" s="29" t="s">
        <v>202</v>
      </c>
      <c r="E5820" s="29">
        <v>1140</v>
      </c>
      <c r="I5820" s="30">
        <v>0.30869999999999997</v>
      </c>
      <c r="K5820" s="30">
        <v>0.30869999999999997</v>
      </c>
      <c r="L5820" s="30">
        <v>3.8899999999999997E-2</v>
      </c>
      <c r="M5820" s="30">
        <v>0.83409999999999995</v>
      </c>
      <c r="N5820" s="30">
        <v>0.44590000000000002</v>
      </c>
    </row>
    <row r="5821" spans="1:16" x14ac:dyDescent="0.25">
      <c r="A5821" t="s">
        <v>204</v>
      </c>
      <c r="B5821" t="s">
        <v>204</v>
      </c>
      <c r="C5821">
        <v>1140</v>
      </c>
      <c r="D5821" t="s">
        <v>204</v>
      </c>
      <c r="E5821">
        <v>1140</v>
      </c>
      <c r="F5821" s="1">
        <v>9.8299999999999998E-2</v>
      </c>
      <c r="G5821" s="1">
        <v>4.9299999999999997E-2</v>
      </c>
      <c r="H5821" s="1">
        <v>4.4000000000000003E-3</v>
      </c>
      <c r="I5821" s="1">
        <v>0.17469999999999999</v>
      </c>
      <c r="J5821" s="1">
        <v>1.0500000000000001E-2</v>
      </c>
      <c r="K5821" s="1">
        <v>0.33429999999999999</v>
      </c>
      <c r="L5821" s="1">
        <v>8.0000000000000004E-4</v>
      </c>
      <c r="M5821" s="1">
        <v>0.75549999999999995</v>
      </c>
      <c r="N5821" s="1">
        <v>0.41089999999999999</v>
      </c>
      <c r="O5821" s="1">
        <v>8.9999999999999998E-4</v>
      </c>
      <c r="P5821" s="1">
        <v>1.8E-3</v>
      </c>
    </row>
    <row r="5823" spans="1:16" x14ac:dyDescent="0.25">
      <c r="A5823" t="s">
        <v>1148</v>
      </c>
    </row>
    <row r="5824" spans="1:16" x14ac:dyDescent="0.25">
      <c r="A5824" t="s">
        <v>190</v>
      </c>
      <c r="B5824" t="s">
        <v>195</v>
      </c>
      <c r="C5824" t="s">
        <v>189</v>
      </c>
      <c r="D5824" t="s">
        <v>196</v>
      </c>
      <c r="E5824" t="s">
        <v>1149</v>
      </c>
      <c r="F5824" t="s">
        <v>1150</v>
      </c>
      <c r="G5824" t="s">
        <v>1151</v>
      </c>
    </row>
    <row r="5825" spans="1:8" x14ac:dyDescent="0.25">
      <c r="A5825" t="s">
        <v>198</v>
      </c>
      <c r="B5825">
        <v>69</v>
      </c>
      <c r="C5825" t="s">
        <v>197</v>
      </c>
      <c r="D5825">
        <v>2217</v>
      </c>
      <c r="E5825" s="1">
        <v>2.46E-2</v>
      </c>
      <c r="F5825" s="1">
        <v>0.53039999999999998</v>
      </c>
      <c r="G5825" s="1">
        <v>0.44500000000000001</v>
      </c>
    </row>
    <row r="5826" spans="1:8" x14ac:dyDescent="0.25">
      <c r="A5826" t="s">
        <v>198</v>
      </c>
      <c r="B5826">
        <v>302</v>
      </c>
      <c r="C5826" t="s">
        <v>199</v>
      </c>
      <c r="D5826">
        <v>2217</v>
      </c>
      <c r="E5826" s="1">
        <v>8.72E-2</v>
      </c>
      <c r="F5826" s="1">
        <v>0.58320000000000005</v>
      </c>
      <c r="G5826" s="1">
        <v>0.3296</v>
      </c>
    </row>
    <row r="5827" spans="1:8" x14ac:dyDescent="0.25">
      <c r="A5827" t="s">
        <v>198</v>
      </c>
      <c r="B5827">
        <v>318</v>
      </c>
      <c r="C5827" t="s">
        <v>200</v>
      </c>
      <c r="D5827">
        <v>2217</v>
      </c>
      <c r="E5827" s="1">
        <v>7.4099999999999999E-2</v>
      </c>
      <c r="F5827" s="1">
        <v>0.61980000000000002</v>
      </c>
      <c r="G5827" s="1">
        <v>0.30609999999999998</v>
      </c>
    </row>
    <row r="5828" spans="1:8" x14ac:dyDescent="0.25">
      <c r="A5828" t="s">
        <v>198</v>
      </c>
      <c r="B5828">
        <v>214</v>
      </c>
      <c r="C5828" t="s">
        <v>201</v>
      </c>
      <c r="D5828">
        <v>2217</v>
      </c>
      <c r="E5828" s="1">
        <v>0.1421</v>
      </c>
      <c r="F5828" s="1">
        <v>0.52410000000000001</v>
      </c>
      <c r="G5828" s="1">
        <v>0.33379999999999999</v>
      </c>
    </row>
    <row r="5829" spans="1:8" x14ac:dyDescent="0.25">
      <c r="A5829" t="s">
        <v>198</v>
      </c>
      <c r="B5829">
        <v>83</v>
      </c>
      <c r="C5829" t="s">
        <v>202</v>
      </c>
      <c r="D5829">
        <v>2217</v>
      </c>
      <c r="E5829" s="1">
        <v>0.14480000000000001</v>
      </c>
      <c r="F5829" s="1">
        <v>0.55589999999999995</v>
      </c>
      <c r="G5829" s="1">
        <v>0.29930000000000001</v>
      </c>
    </row>
    <row r="5830" spans="1:8" x14ac:dyDescent="0.25">
      <c r="A5830" t="s">
        <v>203</v>
      </c>
      <c r="B5830">
        <v>445</v>
      </c>
      <c r="C5830" t="s">
        <v>199</v>
      </c>
      <c r="D5830">
        <v>2217</v>
      </c>
      <c r="E5830" s="1">
        <v>2.8000000000000001E-2</v>
      </c>
      <c r="F5830" s="1">
        <v>0.76959999999999995</v>
      </c>
      <c r="G5830" s="1">
        <v>0.2024</v>
      </c>
    </row>
    <row r="5831" spans="1:8" x14ac:dyDescent="0.25">
      <c r="A5831" t="s">
        <v>203</v>
      </c>
      <c r="B5831">
        <v>430</v>
      </c>
      <c r="C5831" t="s">
        <v>200</v>
      </c>
      <c r="D5831">
        <v>2217</v>
      </c>
      <c r="E5831" s="1">
        <v>1.0999999999999999E-2</v>
      </c>
      <c r="F5831" s="1">
        <v>0.85529999999999995</v>
      </c>
      <c r="G5831" s="1">
        <v>0.13370000000000001</v>
      </c>
    </row>
    <row r="5832" spans="1:8" x14ac:dyDescent="0.25">
      <c r="A5832" t="s">
        <v>203</v>
      </c>
      <c r="B5832">
        <v>272</v>
      </c>
      <c r="C5832" t="s">
        <v>201</v>
      </c>
      <c r="D5832">
        <v>2217</v>
      </c>
      <c r="E5832" s="1">
        <v>3.6499999999999998E-2</v>
      </c>
      <c r="F5832" s="1">
        <v>0.81620000000000004</v>
      </c>
      <c r="G5832" s="1">
        <v>0.1474</v>
      </c>
    </row>
    <row r="5833" spans="1:8" x14ac:dyDescent="0.25">
      <c r="A5833" t="s">
        <v>203</v>
      </c>
      <c r="B5833">
        <v>84</v>
      </c>
      <c r="C5833" t="s">
        <v>202</v>
      </c>
      <c r="D5833">
        <v>2217</v>
      </c>
      <c r="E5833" s="1">
        <v>3.61E-2</v>
      </c>
      <c r="F5833" s="1">
        <v>0.86719999999999997</v>
      </c>
      <c r="G5833" s="1">
        <v>9.6699999999999994E-2</v>
      </c>
    </row>
    <row r="5834" spans="1:8" x14ac:dyDescent="0.25">
      <c r="A5834" t="s">
        <v>204</v>
      </c>
      <c r="B5834">
        <v>2217</v>
      </c>
      <c r="C5834" t="s">
        <v>204</v>
      </c>
      <c r="D5834">
        <v>2217</v>
      </c>
      <c r="E5834" s="1">
        <v>5.2299999999999999E-2</v>
      </c>
      <c r="F5834" s="1">
        <v>0.71599999999999997</v>
      </c>
      <c r="G5834" s="1">
        <v>0.2316</v>
      </c>
    </row>
    <row r="5836" spans="1:8" x14ac:dyDescent="0.25">
      <c r="A5836" t="s">
        <v>1152</v>
      </c>
    </row>
    <row r="5837" spans="1:8" x14ac:dyDescent="0.25">
      <c r="A5837" t="s">
        <v>190</v>
      </c>
      <c r="B5837" t="s">
        <v>206</v>
      </c>
      <c r="C5837" t="s">
        <v>195</v>
      </c>
      <c r="D5837" t="s">
        <v>189</v>
      </c>
      <c r="E5837" t="s">
        <v>196</v>
      </c>
      <c r="F5837" t="s">
        <v>1149</v>
      </c>
      <c r="G5837" t="s">
        <v>1150</v>
      </c>
      <c r="H5837" t="s">
        <v>1151</v>
      </c>
    </row>
    <row r="5838" spans="1:8" x14ac:dyDescent="0.25">
      <c r="A5838" t="s">
        <v>198</v>
      </c>
      <c r="B5838" t="s">
        <v>228</v>
      </c>
      <c r="C5838">
        <v>30</v>
      </c>
      <c r="D5838" t="s">
        <v>197</v>
      </c>
      <c r="E5838">
        <v>2217</v>
      </c>
      <c r="F5838" s="1">
        <v>1.8599999999999998E-2</v>
      </c>
      <c r="G5838" s="1">
        <v>0.54369999999999996</v>
      </c>
      <c r="H5838" s="1">
        <v>0.43769999999999998</v>
      </c>
    </row>
    <row r="5839" spans="1:8" x14ac:dyDescent="0.25">
      <c r="A5839" t="s">
        <v>198</v>
      </c>
      <c r="B5839" t="s">
        <v>229</v>
      </c>
      <c r="C5839">
        <v>39</v>
      </c>
      <c r="D5839" t="s">
        <v>197</v>
      </c>
      <c r="E5839">
        <v>2217</v>
      </c>
      <c r="F5839" s="1">
        <v>2.9899999999999999E-2</v>
      </c>
      <c r="G5839" s="1">
        <v>0.51870000000000005</v>
      </c>
      <c r="H5839" s="1">
        <v>0.45140000000000002</v>
      </c>
    </row>
    <row r="5840" spans="1:8" x14ac:dyDescent="0.25">
      <c r="A5840" t="s">
        <v>198</v>
      </c>
      <c r="B5840" t="s">
        <v>228</v>
      </c>
      <c r="C5840">
        <v>124</v>
      </c>
      <c r="D5840" t="s">
        <v>199</v>
      </c>
      <c r="E5840">
        <v>2217</v>
      </c>
      <c r="F5840" s="1">
        <v>9.0300000000000005E-2</v>
      </c>
      <c r="G5840" s="1">
        <v>0.61639999999999995</v>
      </c>
      <c r="H5840" s="1">
        <v>0.29330000000000001</v>
      </c>
    </row>
    <row r="5841" spans="1:8" x14ac:dyDescent="0.25">
      <c r="A5841" t="s">
        <v>198</v>
      </c>
      <c r="B5841" t="s">
        <v>229</v>
      </c>
      <c r="C5841">
        <v>170</v>
      </c>
      <c r="D5841" t="s">
        <v>199</v>
      </c>
      <c r="E5841">
        <v>2217</v>
      </c>
      <c r="F5841" s="1">
        <v>8.6900000000000005E-2</v>
      </c>
      <c r="G5841" s="1">
        <v>0.57310000000000005</v>
      </c>
      <c r="H5841" s="1">
        <v>0.33989999999999998</v>
      </c>
    </row>
    <row r="5842" spans="1:8" x14ac:dyDescent="0.25">
      <c r="A5842" t="s">
        <v>198</v>
      </c>
      <c r="B5842" t="s">
        <v>229</v>
      </c>
      <c r="C5842">
        <v>221</v>
      </c>
      <c r="D5842" t="s">
        <v>200</v>
      </c>
      <c r="E5842">
        <v>2217</v>
      </c>
      <c r="F5842" s="1">
        <v>7.0699999999999999E-2</v>
      </c>
      <c r="G5842" s="1">
        <v>0.61990000000000001</v>
      </c>
      <c r="H5842" s="1">
        <v>0.30940000000000001</v>
      </c>
    </row>
    <row r="5843" spans="1:8" x14ac:dyDescent="0.25">
      <c r="A5843" t="s">
        <v>198</v>
      </c>
      <c r="B5843" t="s">
        <v>228</v>
      </c>
      <c r="C5843">
        <v>93</v>
      </c>
      <c r="D5843" t="s">
        <v>200</v>
      </c>
      <c r="E5843">
        <v>2217</v>
      </c>
      <c r="F5843" s="1">
        <v>8.8499999999999995E-2</v>
      </c>
      <c r="G5843" s="1">
        <v>0.62980000000000003</v>
      </c>
      <c r="H5843" s="1">
        <v>0.28170000000000001</v>
      </c>
    </row>
    <row r="5844" spans="1:8" x14ac:dyDescent="0.25">
      <c r="A5844" t="s">
        <v>198</v>
      </c>
      <c r="B5844" t="s">
        <v>228</v>
      </c>
      <c r="C5844">
        <v>76</v>
      </c>
      <c r="D5844" t="s">
        <v>201</v>
      </c>
      <c r="E5844">
        <v>2217</v>
      </c>
      <c r="F5844" s="1">
        <v>6.4500000000000002E-2</v>
      </c>
      <c r="G5844" s="1">
        <v>0.47970000000000002</v>
      </c>
      <c r="H5844" s="1">
        <v>0.45569999999999999</v>
      </c>
    </row>
    <row r="5845" spans="1:8" x14ac:dyDescent="0.25">
      <c r="A5845" t="s">
        <v>198</v>
      </c>
      <c r="B5845" t="s">
        <v>229</v>
      </c>
      <c r="C5845">
        <v>133</v>
      </c>
      <c r="D5845" t="s">
        <v>201</v>
      </c>
      <c r="E5845">
        <v>2217</v>
      </c>
      <c r="F5845" s="1">
        <v>0.15640000000000001</v>
      </c>
      <c r="G5845" s="1">
        <v>0.54190000000000005</v>
      </c>
      <c r="H5845" s="1">
        <v>0.30170000000000002</v>
      </c>
    </row>
    <row r="5846" spans="1:8" s="29" customFormat="1" x14ac:dyDescent="0.25">
      <c r="A5846" s="29" t="s">
        <v>198</v>
      </c>
      <c r="B5846" s="29" t="s">
        <v>228</v>
      </c>
      <c r="C5846" s="29">
        <v>25</v>
      </c>
      <c r="D5846" s="29" t="s">
        <v>202</v>
      </c>
      <c r="E5846" s="29">
        <v>2217</v>
      </c>
      <c r="F5846" s="30">
        <v>0.37169999999999997</v>
      </c>
      <c r="G5846" s="30">
        <v>0.35189999999999999</v>
      </c>
      <c r="H5846" s="30">
        <v>0.27629999999999999</v>
      </c>
    </row>
    <row r="5847" spans="1:8" x14ac:dyDescent="0.25">
      <c r="A5847" t="s">
        <v>198</v>
      </c>
      <c r="B5847" t="s">
        <v>229</v>
      </c>
      <c r="C5847">
        <v>58</v>
      </c>
      <c r="D5847" t="s">
        <v>202</v>
      </c>
      <c r="E5847">
        <v>2217</v>
      </c>
      <c r="F5847" s="1">
        <v>8.4199999999999997E-2</v>
      </c>
      <c r="G5847" s="1">
        <v>0.61029999999999995</v>
      </c>
      <c r="H5847" s="1">
        <v>0.3054</v>
      </c>
    </row>
    <row r="5848" spans="1:8" x14ac:dyDescent="0.25">
      <c r="A5848" t="s">
        <v>203</v>
      </c>
      <c r="B5848" t="s">
        <v>229</v>
      </c>
      <c r="C5848">
        <v>307</v>
      </c>
      <c r="D5848" t="s">
        <v>199</v>
      </c>
      <c r="E5848">
        <v>2217</v>
      </c>
      <c r="F5848" s="1">
        <v>2.5899999999999999E-2</v>
      </c>
      <c r="G5848" s="1">
        <v>0.7802</v>
      </c>
      <c r="H5848" s="1">
        <v>0.19389999999999999</v>
      </c>
    </row>
    <row r="5849" spans="1:8" x14ac:dyDescent="0.25">
      <c r="A5849" t="s">
        <v>203</v>
      </c>
      <c r="B5849" t="s">
        <v>228</v>
      </c>
      <c r="C5849">
        <v>131</v>
      </c>
      <c r="D5849" t="s">
        <v>199</v>
      </c>
      <c r="E5849">
        <v>2217</v>
      </c>
      <c r="F5849" s="1">
        <v>4.7199999999999999E-2</v>
      </c>
      <c r="G5849" s="1">
        <v>0.68289999999999995</v>
      </c>
      <c r="H5849" s="1">
        <v>0.26979999999999998</v>
      </c>
    </row>
    <row r="5850" spans="1:8" x14ac:dyDescent="0.25">
      <c r="A5850" t="s">
        <v>203</v>
      </c>
      <c r="B5850" t="s">
        <v>229</v>
      </c>
      <c r="C5850">
        <v>305</v>
      </c>
      <c r="D5850" t="s">
        <v>200</v>
      </c>
      <c r="E5850">
        <v>2217</v>
      </c>
      <c r="F5850" s="1">
        <v>7.0000000000000001E-3</v>
      </c>
      <c r="G5850" s="1">
        <v>0.84789999999999999</v>
      </c>
      <c r="H5850" s="1">
        <v>0.14510000000000001</v>
      </c>
    </row>
    <row r="5851" spans="1:8" x14ac:dyDescent="0.25">
      <c r="A5851" t="s">
        <v>203</v>
      </c>
      <c r="B5851" t="s">
        <v>228</v>
      </c>
      <c r="C5851">
        <v>124</v>
      </c>
      <c r="D5851" t="s">
        <v>200</v>
      </c>
      <c r="E5851">
        <v>2217</v>
      </c>
      <c r="F5851" s="1">
        <v>2.9700000000000001E-2</v>
      </c>
      <c r="G5851" s="1">
        <v>0.88970000000000005</v>
      </c>
      <c r="H5851" s="1">
        <v>8.0600000000000005E-2</v>
      </c>
    </row>
    <row r="5852" spans="1:8" x14ac:dyDescent="0.25">
      <c r="A5852" t="s">
        <v>203</v>
      </c>
      <c r="B5852" t="s">
        <v>229</v>
      </c>
      <c r="C5852">
        <v>117</v>
      </c>
      <c r="D5852" t="s">
        <v>201</v>
      </c>
      <c r="E5852">
        <v>2217</v>
      </c>
      <c r="F5852" s="1">
        <v>1.5100000000000001E-2</v>
      </c>
      <c r="G5852" s="1">
        <v>0.86929999999999996</v>
      </c>
      <c r="H5852" s="1">
        <v>0.11559999999999999</v>
      </c>
    </row>
    <row r="5853" spans="1:8" x14ac:dyDescent="0.25">
      <c r="A5853" t="s">
        <v>203</v>
      </c>
      <c r="B5853" t="s">
        <v>228</v>
      </c>
      <c r="C5853">
        <v>148</v>
      </c>
      <c r="D5853" t="s">
        <v>201</v>
      </c>
      <c r="E5853">
        <v>2217</v>
      </c>
      <c r="F5853" s="1">
        <v>0.1048</v>
      </c>
      <c r="G5853" s="1">
        <v>0.64570000000000005</v>
      </c>
      <c r="H5853" s="1">
        <v>0.24940000000000001</v>
      </c>
    </row>
    <row r="5854" spans="1:8" x14ac:dyDescent="0.25">
      <c r="A5854" t="s">
        <v>203</v>
      </c>
      <c r="B5854" t="s">
        <v>228</v>
      </c>
      <c r="C5854">
        <v>31</v>
      </c>
      <c r="D5854" t="s">
        <v>202</v>
      </c>
      <c r="E5854">
        <v>2217</v>
      </c>
      <c r="F5854" s="1">
        <v>2.8899999999999999E-2</v>
      </c>
      <c r="G5854" s="1">
        <v>0.91439999999999999</v>
      </c>
      <c r="H5854" s="1">
        <v>5.6599999999999998E-2</v>
      </c>
    </row>
    <row r="5855" spans="1:8" x14ac:dyDescent="0.25">
      <c r="A5855" t="s">
        <v>203</v>
      </c>
      <c r="B5855" t="s">
        <v>229</v>
      </c>
      <c r="C5855">
        <v>53</v>
      </c>
      <c r="D5855" t="s">
        <v>202</v>
      </c>
      <c r="E5855">
        <v>2217</v>
      </c>
      <c r="F5855" s="1">
        <v>3.8800000000000001E-2</v>
      </c>
      <c r="G5855" s="1">
        <v>0.84970000000000001</v>
      </c>
      <c r="H5855" s="1">
        <v>0.1115</v>
      </c>
    </row>
    <row r="5856" spans="1:8" x14ac:dyDescent="0.25">
      <c r="A5856" t="s">
        <v>204</v>
      </c>
      <c r="B5856" t="s">
        <v>204</v>
      </c>
      <c r="C5856">
        <v>2217</v>
      </c>
      <c r="D5856" t="s">
        <v>204</v>
      </c>
      <c r="E5856">
        <v>2217</v>
      </c>
      <c r="F5856" s="1">
        <v>5.2299999999999999E-2</v>
      </c>
      <c r="G5856" s="1">
        <v>0.71599999999999997</v>
      </c>
      <c r="H5856" s="1">
        <v>0.2316</v>
      </c>
    </row>
    <row r="5858" spans="1:8" x14ac:dyDescent="0.25">
      <c r="A5858" t="s">
        <v>1153</v>
      </c>
    </row>
    <row r="5859" spans="1:8" x14ac:dyDescent="0.25">
      <c r="A5859" t="s">
        <v>190</v>
      </c>
      <c r="B5859" t="s">
        <v>206</v>
      </c>
      <c r="C5859" t="s">
        <v>195</v>
      </c>
      <c r="D5859" t="s">
        <v>189</v>
      </c>
      <c r="E5859" t="s">
        <v>196</v>
      </c>
      <c r="F5859" t="s">
        <v>1149</v>
      </c>
      <c r="G5859" t="s">
        <v>1150</v>
      </c>
      <c r="H5859" t="s">
        <v>1151</v>
      </c>
    </row>
    <row r="5860" spans="1:8" x14ac:dyDescent="0.25">
      <c r="A5860" t="s">
        <v>198</v>
      </c>
      <c r="B5860" t="s">
        <v>348</v>
      </c>
      <c r="C5860">
        <v>66</v>
      </c>
      <c r="D5860" t="s">
        <v>197</v>
      </c>
      <c r="E5860">
        <v>2217</v>
      </c>
      <c r="F5860" s="1">
        <v>2.5600000000000001E-2</v>
      </c>
      <c r="G5860" s="1">
        <v>0.53820000000000001</v>
      </c>
      <c r="H5860" s="1">
        <v>0.43619999999999998</v>
      </c>
    </row>
    <row r="5861" spans="1:8" s="29" customFormat="1" x14ac:dyDescent="0.25">
      <c r="A5861" s="29" t="s">
        <v>198</v>
      </c>
      <c r="B5861" s="29" t="s">
        <v>349</v>
      </c>
      <c r="C5861" s="29">
        <v>3</v>
      </c>
      <c r="D5861" s="29" t="s">
        <v>197</v>
      </c>
      <c r="E5861" s="29">
        <v>2217</v>
      </c>
      <c r="G5861" s="30">
        <v>0.33329999999999999</v>
      </c>
      <c r="H5861" s="30">
        <v>0.66669999999999996</v>
      </c>
    </row>
    <row r="5862" spans="1:8" x14ac:dyDescent="0.25">
      <c r="A5862" t="s">
        <v>198</v>
      </c>
      <c r="B5862" t="s">
        <v>348</v>
      </c>
      <c r="C5862">
        <v>51</v>
      </c>
      <c r="D5862" t="s">
        <v>199</v>
      </c>
      <c r="E5862">
        <v>2217</v>
      </c>
      <c r="F5862" s="1">
        <v>3.6299999999999999E-2</v>
      </c>
      <c r="G5862" s="1">
        <v>0.60750000000000004</v>
      </c>
      <c r="H5862" s="1">
        <v>0.35620000000000002</v>
      </c>
    </row>
    <row r="5863" spans="1:8" x14ac:dyDescent="0.25">
      <c r="A5863" t="s">
        <v>198</v>
      </c>
      <c r="B5863" t="s">
        <v>349</v>
      </c>
      <c r="C5863">
        <v>97</v>
      </c>
      <c r="D5863" t="s">
        <v>199</v>
      </c>
      <c r="E5863">
        <v>2217</v>
      </c>
      <c r="F5863" s="1">
        <v>7.8200000000000006E-2</v>
      </c>
      <c r="G5863" s="1">
        <v>0.59930000000000005</v>
      </c>
      <c r="H5863" s="1">
        <v>0.32250000000000001</v>
      </c>
    </row>
    <row r="5864" spans="1:8" x14ac:dyDescent="0.25">
      <c r="A5864" t="s">
        <v>198</v>
      </c>
      <c r="B5864" t="s">
        <v>350</v>
      </c>
      <c r="C5864">
        <v>146</v>
      </c>
      <c r="D5864" t="s">
        <v>199</v>
      </c>
      <c r="E5864">
        <v>2217</v>
      </c>
      <c r="F5864" s="1">
        <v>0.1202</v>
      </c>
      <c r="G5864" s="1">
        <v>0.55820000000000003</v>
      </c>
      <c r="H5864" s="1">
        <v>0.3216</v>
      </c>
    </row>
    <row r="5865" spans="1:8" x14ac:dyDescent="0.25">
      <c r="A5865" t="s">
        <v>198</v>
      </c>
      <c r="B5865" t="s">
        <v>350</v>
      </c>
      <c r="C5865">
        <v>50</v>
      </c>
      <c r="D5865" t="s">
        <v>200</v>
      </c>
      <c r="E5865">
        <v>2217</v>
      </c>
      <c r="F5865" s="1">
        <v>0.1128</v>
      </c>
      <c r="G5865" s="1">
        <v>0.51039999999999996</v>
      </c>
      <c r="H5865" s="1">
        <v>0.37669999999999998</v>
      </c>
    </row>
    <row r="5866" spans="1:8" x14ac:dyDescent="0.25">
      <c r="A5866" t="s">
        <v>198</v>
      </c>
      <c r="B5866" t="s">
        <v>348</v>
      </c>
      <c r="C5866">
        <v>208</v>
      </c>
      <c r="D5866" t="s">
        <v>200</v>
      </c>
      <c r="E5866">
        <v>2217</v>
      </c>
      <c r="F5866" s="1">
        <v>7.5899999999999995E-2</v>
      </c>
      <c r="G5866" s="1">
        <v>0.62649999999999995</v>
      </c>
      <c r="H5866" s="1">
        <v>0.29759999999999998</v>
      </c>
    </row>
    <row r="5867" spans="1:8" x14ac:dyDescent="0.25">
      <c r="A5867" t="s">
        <v>198</v>
      </c>
      <c r="B5867" t="s">
        <v>349</v>
      </c>
      <c r="C5867">
        <v>56</v>
      </c>
      <c r="D5867" t="s">
        <v>200</v>
      </c>
      <c r="E5867">
        <v>2217</v>
      </c>
      <c r="F5867" s="1">
        <v>2.9499999999999998E-2</v>
      </c>
      <c r="G5867" s="1">
        <v>0.64929999999999999</v>
      </c>
      <c r="H5867" s="1">
        <v>0.32119999999999999</v>
      </c>
    </row>
    <row r="5868" spans="1:8" x14ac:dyDescent="0.25">
      <c r="A5868" t="s">
        <v>198</v>
      </c>
      <c r="B5868" t="s">
        <v>349</v>
      </c>
      <c r="C5868">
        <v>108</v>
      </c>
      <c r="D5868" t="s">
        <v>201</v>
      </c>
      <c r="E5868">
        <v>2217</v>
      </c>
      <c r="F5868" s="1">
        <v>0.16750000000000001</v>
      </c>
      <c r="G5868" s="1">
        <v>0.50239999999999996</v>
      </c>
      <c r="H5868" s="1">
        <v>0.3301</v>
      </c>
    </row>
    <row r="5869" spans="1:8" x14ac:dyDescent="0.25">
      <c r="A5869" t="s">
        <v>198</v>
      </c>
      <c r="B5869" t="s">
        <v>350</v>
      </c>
      <c r="C5869">
        <v>50</v>
      </c>
      <c r="D5869" t="s">
        <v>201</v>
      </c>
      <c r="E5869">
        <v>2217</v>
      </c>
      <c r="F5869" s="1">
        <v>3.15E-2</v>
      </c>
      <c r="G5869" s="1">
        <v>0.66400000000000003</v>
      </c>
      <c r="H5869" s="1">
        <v>0.30449999999999999</v>
      </c>
    </row>
    <row r="5870" spans="1:8" x14ac:dyDescent="0.25">
      <c r="A5870" t="s">
        <v>198</v>
      </c>
      <c r="B5870" t="s">
        <v>348</v>
      </c>
      <c r="C5870">
        <v>51</v>
      </c>
      <c r="D5870" t="s">
        <v>201</v>
      </c>
      <c r="E5870">
        <v>2217</v>
      </c>
      <c r="F5870" s="1">
        <v>6.6400000000000001E-2</v>
      </c>
      <c r="G5870" s="1">
        <v>0.59240000000000004</v>
      </c>
      <c r="H5870" s="1">
        <v>0.3412</v>
      </c>
    </row>
    <row r="5871" spans="1:8" x14ac:dyDescent="0.25">
      <c r="A5871" t="s">
        <v>198</v>
      </c>
      <c r="B5871" t="s">
        <v>348</v>
      </c>
      <c r="C5871">
        <v>83</v>
      </c>
      <c r="D5871" t="s">
        <v>202</v>
      </c>
      <c r="E5871">
        <v>2217</v>
      </c>
      <c r="F5871" s="1">
        <v>0.14480000000000001</v>
      </c>
      <c r="G5871" s="1">
        <v>0.55589999999999995</v>
      </c>
      <c r="H5871" s="1">
        <v>0.29930000000000001</v>
      </c>
    </row>
    <row r="5872" spans="1:8" x14ac:dyDescent="0.25">
      <c r="A5872" t="s">
        <v>203</v>
      </c>
      <c r="B5872" t="s">
        <v>349</v>
      </c>
      <c r="C5872">
        <v>143</v>
      </c>
      <c r="D5872" t="s">
        <v>199</v>
      </c>
      <c r="E5872">
        <v>2217</v>
      </c>
      <c r="F5872" s="1">
        <v>3.4299999999999997E-2</v>
      </c>
      <c r="G5872" s="1">
        <v>0.82509999999999994</v>
      </c>
      <c r="H5872" s="1">
        <v>0.1406</v>
      </c>
    </row>
    <row r="5873" spans="1:8" x14ac:dyDescent="0.25">
      <c r="A5873" t="s">
        <v>203</v>
      </c>
      <c r="B5873" t="s">
        <v>348</v>
      </c>
      <c r="C5873">
        <v>41</v>
      </c>
      <c r="D5873" t="s">
        <v>199</v>
      </c>
      <c r="E5873">
        <v>2217</v>
      </c>
      <c r="F5873" s="1">
        <v>5.8599999999999999E-2</v>
      </c>
      <c r="G5873" s="1">
        <v>0.77939999999999998</v>
      </c>
      <c r="H5873" s="1">
        <v>0.16200000000000001</v>
      </c>
    </row>
    <row r="5874" spans="1:8" x14ac:dyDescent="0.25">
      <c r="A5874" t="s">
        <v>203</v>
      </c>
      <c r="B5874" t="s">
        <v>350</v>
      </c>
      <c r="C5874">
        <v>254</v>
      </c>
      <c r="D5874" t="s">
        <v>199</v>
      </c>
      <c r="E5874">
        <v>2217</v>
      </c>
      <c r="F5874" s="1">
        <v>2.2800000000000001E-2</v>
      </c>
      <c r="G5874" s="1">
        <v>0.74099999999999999</v>
      </c>
      <c r="H5874" s="1">
        <v>0.23619999999999999</v>
      </c>
    </row>
    <row r="5875" spans="1:8" x14ac:dyDescent="0.25">
      <c r="A5875" t="s">
        <v>203</v>
      </c>
      <c r="B5875" t="s">
        <v>348</v>
      </c>
      <c r="C5875">
        <v>252</v>
      </c>
      <c r="D5875" t="s">
        <v>200</v>
      </c>
      <c r="E5875">
        <v>2217</v>
      </c>
      <c r="F5875" s="1">
        <v>9.1000000000000004E-3</v>
      </c>
      <c r="G5875" s="1">
        <v>0.86619999999999997</v>
      </c>
      <c r="H5875" s="1">
        <v>0.12470000000000001</v>
      </c>
    </row>
    <row r="5876" spans="1:8" x14ac:dyDescent="0.25">
      <c r="A5876" t="s">
        <v>203</v>
      </c>
      <c r="B5876" t="s">
        <v>349</v>
      </c>
      <c r="C5876">
        <v>96</v>
      </c>
      <c r="D5876" t="s">
        <v>200</v>
      </c>
      <c r="E5876">
        <v>2217</v>
      </c>
      <c r="F5876" s="1">
        <v>1.83E-2</v>
      </c>
      <c r="G5876" s="1">
        <v>0.76119999999999999</v>
      </c>
      <c r="H5876" s="1">
        <v>0.2205</v>
      </c>
    </row>
    <row r="5877" spans="1:8" x14ac:dyDescent="0.25">
      <c r="A5877" t="s">
        <v>203</v>
      </c>
      <c r="B5877" t="s">
        <v>350</v>
      </c>
      <c r="C5877">
        <v>81</v>
      </c>
      <c r="D5877" t="s">
        <v>200</v>
      </c>
      <c r="E5877">
        <v>2217</v>
      </c>
      <c r="F5877" s="1">
        <v>4.24E-2</v>
      </c>
      <c r="G5877" s="1">
        <v>0.81289999999999996</v>
      </c>
      <c r="H5877" s="1">
        <v>0.1447</v>
      </c>
    </row>
    <row r="5878" spans="1:8" x14ac:dyDescent="0.25">
      <c r="A5878" t="s">
        <v>203</v>
      </c>
      <c r="B5878" t="s">
        <v>348</v>
      </c>
      <c r="C5878">
        <v>49</v>
      </c>
      <c r="D5878" t="s">
        <v>201</v>
      </c>
      <c r="E5878">
        <v>2217</v>
      </c>
      <c r="F5878" s="1">
        <v>0.19170000000000001</v>
      </c>
      <c r="G5878" s="1">
        <v>0.60509999999999997</v>
      </c>
      <c r="H5878" s="1">
        <v>0.20319999999999999</v>
      </c>
    </row>
    <row r="5879" spans="1:8" x14ac:dyDescent="0.25">
      <c r="A5879" t="s">
        <v>203</v>
      </c>
      <c r="B5879" t="s">
        <v>349</v>
      </c>
      <c r="C5879">
        <v>135</v>
      </c>
      <c r="D5879" t="s">
        <v>201</v>
      </c>
      <c r="E5879">
        <v>2217</v>
      </c>
      <c r="F5879" s="1">
        <v>1.37E-2</v>
      </c>
      <c r="G5879" s="1">
        <v>0.85829999999999995</v>
      </c>
      <c r="H5879" s="1">
        <v>0.12790000000000001</v>
      </c>
    </row>
    <row r="5880" spans="1:8" x14ac:dyDescent="0.25">
      <c r="A5880" t="s">
        <v>203</v>
      </c>
      <c r="B5880" t="s">
        <v>350</v>
      </c>
      <c r="C5880">
        <v>81</v>
      </c>
      <c r="D5880" t="s">
        <v>201</v>
      </c>
      <c r="E5880">
        <v>2217</v>
      </c>
      <c r="F5880" s="1">
        <v>9.1600000000000001E-2</v>
      </c>
      <c r="G5880" s="1">
        <v>0.58960000000000001</v>
      </c>
      <c r="H5880" s="1">
        <v>0.31879999999999997</v>
      </c>
    </row>
    <row r="5881" spans="1:8" x14ac:dyDescent="0.25">
      <c r="A5881" t="s">
        <v>203</v>
      </c>
      <c r="B5881" t="s">
        <v>348</v>
      </c>
      <c r="C5881">
        <v>84</v>
      </c>
      <c r="D5881" t="s">
        <v>202</v>
      </c>
      <c r="E5881">
        <v>2217</v>
      </c>
      <c r="F5881" s="1">
        <v>3.61E-2</v>
      </c>
      <c r="G5881" s="1">
        <v>0.86719999999999997</v>
      </c>
      <c r="H5881" s="1">
        <v>9.6699999999999994E-2</v>
      </c>
    </row>
    <row r="5882" spans="1:8" x14ac:dyDescent="0.25">
      <c r="A5882" t="s">
        <v>204</v>
      </c>
      <c r="B5882" t="s">
        <v>204</v>
      </c>
      <c r="C5882">
        <v>2217</v>
      </c>
      <c r="D5882" t="s">
        <v>204</v>
      </c>
      <c r="E5882">
        <v>2217</v>
      </c>
      <c r="F5882" s="1">
        <v>5.2299999999999999E-2</v>
      </c>
      <c r="G5882" s="1">
        <v>0.71599999999999997</v>
      </c>
      <c r="H5882" s="1">
        <v>0.2316</v>
      </c>
    </row>
    <row r="5884" spans="1:8" x14ac:dyDescent="0.25">
      <c r="A5884" t="s">
        <v>1154</v>
      </c>
    </row>
    <row r="5885" spans="1:8" x14ac:dyDescent="0.25">
      <c r="A5885" t="s">
        <v>190</v>
      </c>
      <c r="B5885" t="s">
        <v>195</v>
      </c>
      <c r="C5885" t="s">
        <v>189</v>
      </c>
      <c r="D5885" t="s">
        <v>196</v>
      </c>
      <c r="E5885" t="s">
        <v>948</v>
      </c>
      <c r="F5885" t="s">
        <v>1155</v>
      </c>
      <c r="G5885" t="s">
        <v>1156</v>
      </c>
    </row>
    <row r="5886" spans="1:8" x14ac:dyDescent="0.25">
      <c r="A5886" t="s">
        <v>198</v>
      </c>
      <c r="B5886">
        <v>82</v>
      </c>
      <c r="C5886" t="s">
        <v>197</v>
      </c>
      <c r="D5886">
        <v>2633</v>
      </c>
      <c r="E5886" s="1">
        <v>1.0999999999999999E-2</v>
      </c>
      <c r="F5886" s="1">
        <v>0.98899999999999999</v>
      </c>
    </row>
    <row r="5887" spans="1:8" x14ac:dyDescent="0.25">
      <c r="A5887" t="s">
        <v>198</v>
      </c>
      <c r="B5887">
        <v>368</v>
      </c>
      <c r="C5887" t="s">
        <v>199</v>
      </c>
      <c r="D5887">
        <v>2633</v>
      </c>
      <c r="E5887" s="1">
        <v>1.1900000000000001E-2</v>
      </c>
      <c r="F5887" s="1">
        <v>0.97619999999999996</v>
      </c>
      <c r="G5887" s="1">
        <v>1.1900000000000001E-2</v>
      </c>
    </row>
    <row r="5888" spans="1:8" x14ac:dyDescent="0.25">
      <c r="A5888" t="s">
        <v>198</v>
      </c>
      <c r="B5888">
        <v>387</v>
      </c>
      <c r="C5888" t="s">
        <v>200</v>
      </c>
      <c r="D5888">
        <v>2633</v>
      </c>
      <c r="E5888" s="1">
        <v>1.21E-2</v>
      </c>
      <c r="F5888" s="1">
        <v>0.9879</v>
      </c>
    </row>
    <row r="5889" spans="1:8" x14ac:dyDescent="0.25">
      <c r="A5889" t="s">
        <v>198</v>
      </c>
      <c r="B5889">
        <v>256</v>
      </c>
      <c r="C5889" t="s">
        <v>201</v>
      </c>
      <c r="D5889">
        <v>2633</v>
      </c>
      <c r="E5889" s="1">
        <v>1.8700000000000001E-2</v>
      </c>
      <c r="F5889" s="1">
        <v>0.9587</v>
      </c>
      <c r="G5889" s="1">
        <v>2.2499999999999999E-2</v>
      </c>
    </row>
    <row r="5890" spans="1:8" x14ac:dyDescent="0.25">
      <c r="A5890" t="s">
        <v>198</v>
      </c>
      <c r="B5890">
        <v>96</v>
      </c>
      <c r="C5890" t="s">
        <v>202</v>
      </c>
      <c r="D5890">
        <v>2633</v>
      </c>
      <c r="E5890" s="1">
        <v>1.78E-2</v>
      </c>
      <c r="F5890" s="1">
        <v>0.98219999999999996</v>
      </c>
    </row>
    <row r="5891" spans="1:8" x14ac:dyDescent="0.25">
      <c r="A5891" t="s">
        <v>203</v>
      </c>
      <c r="B5891">
        <v>530</v>
      </c>
      <c r="C5891" t="s">
        <v>199</v>
      </c>
      <c r="D5891">
        <v>2633</v>
      </c>
      <c r="E5891" s="1">
        <v>2.1499999999999998E-2</v>
      </c>
      <c r="F5891" s="1">
        <v>0.9748</v>
      </c>
      <c r="G5891" s="1">
        <v>3.7000000000000002E-3</v>
      </c>
    </row>
    <row r="5892" spans="1:8" x14ac:dyDescent="0.25">
      <c r="A5892" t="s">
        <v>203</v>
      </c>
      <c r="B5892">
        <v>503</v>
      </c>
      <c r="C5892" t="s">
        <v>200</v>
      </c>
      <c r="D5892">
        <v>2633</v>
      </c>
      <c r="E5892" s="1">
        <v>4.7000000000000002E-3</v>
      </c>
      <c r="F5892" s="1">
        <v>0.99529999999999996</v>
      </c>
    </row>
    <row r="5893" spans="1:8" x14ac:dyDescent="0.25">
      <c r="A5893" t="s">
        <v>203</v>
      </c>
      <c r="B5893">
        <v>321</v>
      </c>
      <c r="C5893" t="s">
        <v>201</v>
      </c>
      <c r="D5893">
        <v>2633</v>
      </c>
      <c r="E5893" s="1">
        <v>2.1399999999999999E-2</v>
      </c>
      <c r="F5893" s="1">
        <v>0.97860000000000003</v>
      </c>
    </row>
    <row r="5894" spans="1:8" x14ac:dyDescent="0.25">
      <c r="A5894" t="s">
        <v>203</v>
      </c>
      <c r="B5894">
        <v>90</v>
      </c>
      <c r="C5894" t="s">
        <v>202</v>
      </c>
      <c r="D5894">
        <v>2633</v>
      </c>
      <c r="E5894" s="1">
        <v>1.09E-2</v>
      </c>
      <c r="F5894" s="1">
        <v>0.98540000000000005</v>
      </c>
      <c r="G5894" s="1">
        <v>3.7000000000000002E-3</v>
      </c>
    </row>
    <row r="5895" spans="1:8" x14ac:dyDescent="0.25">
      <c r="A5895" t="s">
        <v>204</v>
      </c>
      <c r="B5895">
        <v>2633</v>
      </c>
      <c r="C5895" t="s">
        <v>204</v>
      </c>
      <c r="D5895">
        <v>2633</v>
      </c>
      <c r="E5895" s="1">
        <v>1.23E-2</v>
      </c>
      <c r="F5895" s="1">
        <v>0.98450000000000004</v>
      </c>
      <c r="G5895" s="1">
        <v>3.2000000000000002E-3</v>
      </c>
    </row>
    <row r="5897" spans="1:8" x14ac:dyDescent="0.25">
      <c r="A5897" t="s">
        <v>1157</v>
      </c>
    </row>
    <row r="5898" spans="1:8" x14ac:dyDescent="0.25">
      <c r="A5898" t="s">
        <v>190</v>
      </c>
      <c r="B5898" t="s">
        <v>206</v>
      </c>
      <c r="C5898" t="s">
        <v>195</v>
      </c>
      <c r="D5898" t="s">
        <v>189</v>
      </c>
      <c r="E5898" t="s">
        <v>196</v>
      </c>
      <c r="F5898" t="s">
        <v>948</v>
      </c>
      <c r="G5898" t="s">
        <v>1155</v>
      </c>
      <c r="H5898" t="s">
        <v>1156</v>
      </c>
    </row>
    <row r="5899" spans="1:8" x14ac:dyDescent="0.25">
      <c r="A5899" t="s">
        <v>198</v>
      </c>
      <c r="B5899" t="s">
        <v>228</v>
      </c>
      <c r="C5899">
        <v>33</v>
      </c>
      <c r="D5899" t="s">
        <v>197</v>
      </c>
      <c r="E5899">
        <v>2633</v>
      </c>
      <c r="G5899" s="1">
        <v>1</v>
      </c>
    </row>
    <row r="5900" spans="1:8" x14ac:dyDescent="0.25">
      <c r="A5900" t="s">
        <v>198</v>
      </c>
      <c r="B5900" t="s">
        <v>229</v>
      </c>
      <c r="C5900">
        <v>49</v>
      </c>
      <c r="D5900" t="s">
        <v>197</v>
      </c>
      <c r="E5900">
        <v>2633</v>
      </c>
      <c r="F5900" s="1">
        <v>1.9400000000000001E-2</v>
      </c>
      <c r="G5900" s="1">
        <v>0.98060000000000003</v>
      </c>
    </row>
    <row r="5901" spans="1:8" x14ac:dyDescent="0.25">
      <c r="A5901" t="s">
        <v>198</v>
      </c>
      <c r="B5901" t="s">
        <v>228</v>
      </c>
      <c r="C5901">
        <v>145</v>
      </c>
      <c r="D5901" t="s">
        <v>199</v>
      </c>
      <c r="E5901">
        <v>2633</v>
      </c>
      <c r="F5901" s="1">
        <v>2.01E-2</v>
      </c>
      <c r="G5901" s="1">
        <v>0.97989999999999999</v>
      </c>
    </row>
    <row r="5902" spans="1:8" x14ac:dyDescent="0.25">
      <c r="A5902" t="s">
        <v>198</v>
      </c>
      <c r="B5902" t="s">
        <v>229</v>
      </c>
      <c r="C5902">
        <v>213</v>
      </c>
      <c r="D5902" t="s">
        <v>199</v>
      </c>
      <c r="E5902">
        <v>2633</v>
      </c>
      <c r="F5902" s="1">
        <v>9.1999999999999998E-3</v>
      </c>
      <c r="G5902" s="1">
        <v>0.97470000000000001</v>
      </c>
      <c r="H5902" s="1">
        <v>1.61E-2</v>
      </c>
    </row>
    <row r="5903" spans="1:8" x14ac:dyDescent="0.25">
      <c r="A5903" t="s">
        <v>198</v>
      </c>
      <c r="B5903" t="s">
        <v>229</v>
      </c>
      <c r="C5903">
        <v>270</v>
      </c>
      <c r="D5903" t="s">
        <v>200</v>
      </c>
      <c r="E5903">
        <v>2633</v>
      </c>
      <c r="F5903" s="1">
        <v>1.4999999999999999E-2</v>
      </c>
      <c r="G5903" s="1">
        <v>0.98499999999999999</v>
      </c>
    </row>
    <row r="5904" spans="1:8" x14ac:dyDescent="0.25">
      <c r="A5904" t="s">
        <v>198</v>
      </c>
      <c r="B5904" t="s">
        <v>228</v>
      </c>
      <c r="C5904">
        <v>112</v>
      </c>
      <c r="D5904" t="s">
        <v>200</v>
      </c>
      <c r="E5904">
        <v>2633</v>
      </c>
      <c r="F5904" s="1">
        <v>3.0000000000000001E-3</v>
      </c>
      <c r="G5904" s="1">
        <v>0.997</v>
      </c>
    </row>
    <row r="5905" spans="1:8" x14ac:dyDescent="0.25">
      <c r="A5905" t="s">
        <v>198</v>
      </c>
      <c r="B5905" t="s">
        <v>228</v>
      </c>
      <c r="C5905">
        <v>95</v>
      </c>
      <c r="D5905" t="s">
        <v>201</v>
      </c>
      <c r="E5905">
        <v>2633</v>
      </c>
      <c r="F5905" s="1">
        <v>1.5E-3</v>
      </c>
      <c r="G5905" s="1">
        <v>0.997</v>
      </c>
      <c r="H5905" s="1">
        <v>1.5E-3</v>
      </c>
    </row>
    <row r="5906" spans="1:8" x14ac:dyDescent="0.25">
      <c r="A5906" t="s">
        <v>198</v>
      </c>
      <c r="B5906" t="s">
        <v>229</v>
      </c>
      <c r="C5906">
        <v>155</v>
      </c>
      <c r="D5906" t="s">
        <v>201</v>
      </c>
      <c r="E5906">
        <v>2633</v>
      </c>
      <c r="F5906" s="1">
        <v>2.3699999999999999E-2</v>
      </c>
      <c r="G5906" s="1">
        <v>0.94769999999999999</v>
      </c>
      <c r="H5906" s="1">
        <v>2.86E-2</v>
      </c>
    </row>
    <row r="5907" spans="1:8" s="29" customFormat="1" x14ac:dyDescent="0.25">
      <c r="A5907" s="29" t="s">
        <v>198</v>
      </c>
      <c r="B5907" s="29" t="s">
        <v>228</v>
      </c>
      <c r="C5907" s="29">
        <v>28</v>
      </c>
      <c r="D5907" s="29" t="s">
        <v>202</v>
      </c>
      <c r="E5907" s="29">
        <v>2633</v>
      </c>
      <c r="F5907" s="30">
        <v>1.0699999999999999E-2</v>
      </c>
      <c r="G5907" s="30">
        <v>0.98929999999999996</v>
      </c>
    </row>
    <row r="5908" spans="1:8" x14ac:dyDescent="0.25">
      <c r="A5908" t="s">
        <v>198</v>
      </c>
      <c r="B5908" t="s">
        <v>229</v>
      </c>
      <c r="C5908">
        <v>68</v>
      </c>
      <c r="D5908" t="s">
        <v>202</v>
      </c>
      <c r="E5908">
        <v>2633</v>
      </c>
      <c r="F5908" s="1">
        <v>0.02</v>
      </c>
      <c r="G5908" s="1">
        <v>0.98</v>
      </c>
    </row>
    <row r="5909" spans="1:8" x14ac:dyDescent="0.25">
      <c r="A5909" t="s">
        <v>203</v>
      </c>
      <c r="B5909" t="s">
        <v>229</v>
      </c>
      <c r="C5909">
        <v>370</v>
      </c>
      <c r="D5909" t="s">
        <v>199</v>
      </c>
      <c r="E5909">
        <v>2633</v>
      </c>
      <c r="F5909" s="1">
        <v>2.18E-2</v>
      </c>
      <c r="G5909" s="1">
        <v>0.97399999999999998</v>
      </c>
      <c r="H5909" s="1">
        <v>4.1999999999999997E-3</v>
      </c>
    </row>
    <row r="5910" spans="1:8" x14ac:dyDescent="0.25">
      <c r="A5910" t="s">
        <v>203</v>
      </c>
      <c r="B5910" t="s">
        <v>228</v>
      </c>
      <c r="C5910">
        <v>150</v>
      </c>
      <c r="D5910" t="s">
        <v>199</v>
      </c>
      <c r="E5910">
        <v>2633</v>
      </c>
      <c r="F5910" s="1">
        <v>1.9E-2</v>
      </c>
      <c r="G5910" s="1">
        <v>0.98099999999999998</v>
      </c>
    </row>
    <row r="5911" spans="1:8" x14ac:dyDescent="0.25">
      <c r="A5911" t="s">
        <v>203</v>
      </c>
      <c r="B5911" t="s">
        <v>229</v>
      </c>
      <c r="C5911">
        <v>347</v>
      </c>
      <c r="D5911" t="s">
        <v>200</v>
      </c>
      <c r="E5911">
        <v>2633</v>
      </c>
      <c r="F5911" s="1">
        <v>2.3999999999999998E-3</v>
      </c>
      <c r="G5911" s="1">
        <v>0.99760000000000004</v>
      </c>
    </row>
    <row r="5912" spans="1:8" x14ac:dyDescent="0.25">
      <c r="A5912" t="s">
        <v>203</v>
      </c>
      <c r="B5912" t="s">
        <v>228</v>
      </c>
      <c r="C5912">
        <v>155</v>
      </c>
      <c r="D5912" t="s">
        <v>200</v>
      </c>
      <c r="E5912">
        <v>2633</v>
      </c>
      <c r="F5912" s="1">
        <v>1.4500000000000001E-2</v>
      </c>
      <c r="G5912" s="1">
        <v>0.98550000000000004</v>
      </c>
    </row>
    <row r="5913" spans="1:8" x14ac:dyDescent="0.25">
      <c r="A5913" t="s">
        <v>203</v>
      </c>
      <c r="B5913" t="s">
        <v>229</v>
      </c>
      <c r="C5913">
        <v>137</v>
      </c>
      <c r="D5913" t="s">
        <v>201</v>
      </c>
      <c r="E5913">
        <v>2633</v>
      </c>
      <c r="F5913" s="1">
        <v>1.5599999999999999E-2</v>
      </c>
      <c r="G5913" s="1">
        <v>0.98440000000000005</v>
      </c>
    </row>
    <row r="5914" spans="1:8" x14ac:dyDescent="0.25">
      <c r="A5914" t="s">
        <v>203</v>
      </c>
      <c r="B5914" t="s">
        <v>228</v>
      </c>
      <c r="C5914">
        <v>177</v>
      </c>
      <c r="D5914" t="s">
        <v>201</v>
      </c>
      <c r="E5914">
        <v>2633</v>
      </c>
      <c r="F5914" s="1">
        <v>4.02E-2</v>
      </c>
      <c r="G5914" s="1">
        <v>0.95979999999999999</v>
      </c>
    </row>
    <row r="5915" spans="1:8" x14ac:dyDescent="0.25">
      <c r="A5915" t="s">
        <v>203</v>
      </c>
      <c r="B5915" t="s">
        <v>228</v>
      </c>
      <c r="C5915">
        <v>34</v>
      </c>
      <c r="D5915" t="s">
        <v>202</v>
      </c>
      <c r="E5915">
        <v>2633</v>
      </c>
      <c r="G5915" s="1">
        <v>0.98680000000000001</v>
      </c>
      <c r="H5915" s="1">
        <v>1.32E-2</v>
      </c>
    </row>
    <row r="5916" spans="1:8" x14ac:dyDescent="0.25">
      <c r="A5916" t="s">
        <v>203</v>
      </c>
      <c r="B5916" t="s">
        <v>229</v>
      </c>
      <c r="C5916">
        <v>56</v>
      </c>
      <c r="D5916" t="s">
        <v>202</v>
      </c>
      <c r="E5916">
        <v>2633</v>
      </c>
      <c r="F5916" s="1">
        <v>1.52E-2</v>
      </c>
      <c r="G5916" s="1">
        <v>0.98480000000000001</v>
      </c>
    </row>
    <row r="5917" spans="1:8" x14ac:dyDescent="0.25">
      <c r="A5917" t="s">
        <v>204</v>
      </c>
      <c r="B5917" t="s">
        <v>204</v>
      </c>
      <c r="C5917">
        <v>2633</v>
      </c>
      <c r="D5917" t="s">
        <v>204</v>
      </c>
      <c r="E5917">
        <v>2633</v>
      </c>
      <c r="F5917" s="1">
        <v>1.23E-2</v>
      </c>
      <c r="G5917" s="1">
        <v>0.98450000000000004</v>
      </c>
      <c r="H5917" s="1">
        <v>3.2000000000000002E-3</v>
      </c>
    </row>
    <row r="5919" spans="1:8" x14ac:dyDescent="0.25">
      <c r="A5919" t="s">
        <v>1158</v>
      </c>
    </row>
    <row r="5920" spans="1:8" x14ac:dyDescent="0.25">
      <c r="A5920" t="s">
        <v>190</v>
      </c>
      <c r="B5920" t="s">
        <v>206</v>
      </c>
      <c r="C5920" t="s">
        <v>195</v>
      </c>
      <c r="D5920" t="s">
        <v>189</v>
      </c>
      <c r="E5920" t="s">
        <v>196</v>
      </c>
      <c r="F5920" t="s">
        <v>948</v>
      </c>
      <c r="G5920" t="s">
        <v>1155</v>
      </c>
      <c r="H5920" t="s">
        <v>1156</v>
      </c>
    </row>
    <row r="5921" spans="1:8" x14ac:dyDescent="0.25">
      <c r="A5921" t="s">
        <v>198</v>
      </c>
      <c r="B5921" t="s">
        <v>348</v>
      </c>
      <c r="C5921">
        <v>79</v>
      </c>
      <c r="D5921" t="s">
        <v>197</v>
      </c>
      <c r="E5921">
        <v>2633</v>
      </c>
      <c r="F5921" s="1">
        <v>1.14E-2</v>
      </c>
      <c r="G5921" s="1">
        <v>0.98860000000000003</v>
      </c>
    </row>
    <row r="5922" spans="1:8" s="29" customFormat="1" x14ac:dyDescent="0.25">
      <c r="A5922" s="29" t="s">
        <v>198</v>
      </c>
      <c r="B5922" s="29" t="s">
        <v>349</v>
      </c>
      <c r="C5922" s="29">
        <v>3</v>
      </c>
      <c r="D5922" s="29" t="s">
        <v>197</v>
      </c>
      <c r="E5922" s="29">
        <v>2633</v>
      </c>
      <c r="G5922" s="30">
        <v>1</v>
      </c>
    </row>
    <row r="5923" spans="1:8" x14ac:dyDescent="0.25">
      <c r="A5923" t="s">
        <v>198</v>
      </c>
      <c r="B5923" t="s">
        <v>348</v>
      </c>
      <c r="C5923">
        <v>54</v>
      </c>
      <c r="D5923" t="s">
        <v>199</v>
      </c>
      <c r="E5923">
        <v>2633</v>
      </c>
      <c r="G5923" s="1">
        <v>0.92859999999999998</v>
      </c>
      <c r="H5923" s="1">
        <v>7.1400000000000005E-2</v>
      </c>
    </row>
    <row r="5924" spans="1:8" x14ac:dyDescent="0.25">
      <c r="A5924" t="s">
        <v>198</v>
      </c>
      <c r="B5924" t="s">
        <v>349</v>
      </c>
      <c r="C5924">
        <v>111</v>
      </c>
      <c r="D5924" t="s">
        <v>199</v>
      </c>
      <c r="E5924">
        <v>2633</v>
      </c>
      <c r="F5924" s="1">
        <v>1.6000000000000001E-3</v>
      </c>
      <c r="G5924" s="1">
        <v>0.99839999999999995</v>
      </c>
    </row>
    <row r="5925" spans="1:8" x14ac:dyDescent="0.25">
      <c r="A5925" t="s">
        <v>198</v>
      </c>
      <c r="B5925" t="s">
        <v>350</v>
      </c>
      <c r="C5925">
        <v>193</v>
      </c>
      <c r="D5925" t="s">
        <v>199</v>
      </c>
      <c r="E5925">
        <v>2633</v>
      </c>
      <c r="F5925" s="1">
        <v>2.76E-2</v>
      </c>
      <c r="G5925" s="1">
        <v>0.96750000000000003</v>
      </c>
      <c r="H5925" s="1">
        <v>4.8999999999999998E-3</v>
      </c>
    </row>
    <row r="5926" spans="1:8" x14ac:dyDescent="0.25">
      <c r="A5926" t="s">
        <v>198</v>
      </c>
      <c r="B5926" t="s">
        <v>350</v>
      </c>
      <c r="C5926">
        <v>78</v>
      </c>
      <c r="D5926" t="s">
        <v>200</v>
      </c>
      <c r="E5926">
        <v>2633</v>
      </c>
      <c r="F5926" s="1">
        <v>8.8999999999999999E-3</v>
      </c>
      <c r="G5926" s="1">
        <v>0.99109999999999998</v>
      </c>
    </row>
    <row r="5927" spans="1:8" x14ac:dyDescent="0.25">
      <c r="A5927" t="s">
        <v>198</v>
      </c>
      <c r="B5927" t="s">
        <v>348</v>
      </c>
      <c r="C5927">
        <v>242</v>
      </c>
      <c r="D5927" t="s">
        <v>200</v>
      </c>
      <c r="E5927">
        <v>2633</v>
      </c>
      <c r="F5927" s="1">
        <v>1.2500000000000001E-2</v>
      </c>
      <c r="G5927" s="1">
        <v>0.98750000000000004</v>
      </c>
    </row>
    <row r="5928" spans="1:8" x14ac:dyDescent="0.25">
      <c r="A5928" t="s">
        <v>198</v>
      </c>
      <c r="B5928" t="s">
        <v>349</v>
      </c>
      <c r="C5928">
        <v>62</v>
      </c>
      <c r="D5928" t="s">
        <v>200</v>
      </c>
      <c r="E5928">
        <v>2633</v>
      </c>
      <c r="F5928" s="1">
        <v>1.2E-2</v>
      </c>
      <c r="G5928" s="1">
        <v>0.98799999999999999</v>
      </c>
    </row>
    <row r="5929" spans="1:8" x14ac:dyDescent="0.25">
      <c r="A5929" t="s">
        <v>198</v>
      </c>
      <c r="B5929" t="s">
        <v>349</v>
      </c>
      <c r="C5929">
        <v>125</v>
      </c>
      <c r="D5929" t="s">
        <v>201</v>
      </c>
      <c r="E5929">
        <v>2633</v>
      </c>
      <c r="F5929" s="1">
        <v>2.4899999999999999E-2</v>
      </c>
      <c r="G5929" s="1">
        <v>0.94230000000000003</v>
      </c>
      <c r="H5929" s="1">
        <v>3.2800000000000003E-2</v>
      </c>
    </row>
    <row r="5930" spans="1:8" x14ac:dyDescent="0.25">
      <c r="A5930" t="s">
        <v>198</v>
      </c>
      <c r="B5930" t="s">
        <v>350</v>
      </c>
      <c r="C5930">
        <v>63</v>
      </c>
      <c r="D5930" t="s">
        <v>201</v>
      </c>
      <c r="E5930">
        <v>2633</v>
      </c>
      <c r="F5930" s="1">
        <v>3.6299999999999999E-2</v>
      </c>
      <c r="G5930" s="1">
        <v>0.9637</v>
      </c>
    </row>
    <row r="5931" spans="1:8" x14ac:dyDescent="0.25">
      <c r="A5931" t="s">
        <v>198</v>
      </c>
      <c r="B5931" t="s">
        <v>348</v>
      </c>
      <c r="C5931">
        <v>62</v>
      </c>
      <c r="D5931" t="s">
        <v>201</v>
      </c>
      <c r="E5931">
        <v>2633</v>
      </c>
      <c r="G5931" s="1">
        <v>1</v>
      </c>
    </row>
    <row r="5932" spans="1:8" x14ac:dyDescent="0.25">
      <c r="A5932" t="s">
        <v>198</v>
      </c>
      <c r="B5932" t="s">
        <v>348</v>
      </c>
      <c r="C5932">
        <v>96</v>
      </c>
      <c r="D5932" t="s">
        <v>202</v>
      </c>
      <c r="E5932">
        <v>2633</v>
      </c>
      <c r="F5932" s="1">
        <v>1.78E-2</v>
      </c>
      <c r="G5932" s="1">
        <v>0.98219999999999996</v>
      </c>
    </row>
    <row r="5933" spans="1:8" x14ac:dyDescent="0.25">
      <c r="A5933" t="s">
        <v>203</v>
      </c>
      <c r="B5933" t="s">
        <v>349</v>
      </c>
      <c r="C5933">
        <v>171</v>
      </c>
      <c r="D5933" t="s">
        <v>199</v>
      </c>
      <c r="E5933">
        <v>2633</v>
      </c>
      <c r="F5933" s="1">
        <v>2.2000000000000001E-3</v>
      </c>
      <c r="G5933" s="1">
        <v>0.98629999999999995</v>
      </c>
      <c r="H5933" s="1">
        <v>1.15E-2</v>
      </c>
    </row>
    <row r="5934" spans="1:8" x14ac:dyDescent="0.25">
      <c r="A5934" t="s">
        <v>203</v>
      </c>
      <c r="B5934" t="s">
        <v>348</v>
      </c>
      <c r="C5934">
        <v>42</v>
      </c>
      <c r="D5934" t="s">
        <v>199</v>
      </c>
      <c r="E5934">
        <v>2633</v>
      </c>
      <c r="F5934" s="1">
        <v>0.01</v>
      </c>
      <c r="G5934" s="1">
        <v>0.99</v>
      </c>
    </row>
    <row r="5935" spans="1:8" x14ac:dyDescent="0.25">
      <c r="A5935" t="s">
        <v>203</v>
      </c>
      <c r="B5935" t="s">
        <v>350</v>
      </c>
      <c r="C5935">
        <v>307</v>
      </c>
      <c r="D5935" t="s">
        <v>199</v>
      </c>
      <c r="E5935">
        <v>2633</v>
      </c>
      <c r="F5935" s="1">
        <v>3.2199999999999999E-2</v>
      </c>
      <c r="G5935" s="1">
        <v>0.96779999999999999</v>
      </c>
    </row>
    <row r="5936" spans="1:8" x14ac:dyDescent="0.25">
      <c r="A5936" t="s">
        <v>203</v>
      </c>
      <c r="B5936" t="s">
        <v>348</v>
      </c>
      <c r="C5936">
        <v>300</v>
      </c>
      <c r="D5936" t="s">
        <v>200</v>
      </c>
      <c r="E5936">
        <v>2633</v>
      </c>
      <c r="F5936" s="1">
        <v>4.8999999999999998E-3</v>
      </c>
      <c r="G5936" s="1">
        <v>0.99509999999999998</v>
      </c>
    </row>
    <row r="5937" spans="1:9" x14ac:dyDescent="0.25">
      <c r="A5937" t="s">
        <v>203</v>
      </c>
      <c r="B5937" t="s">
        <v>349</v>
      </c>
      <c r="C5937">
        <v>108</v>
      </c>
      <c r="D5937" t="s">
        <v>200</v>
      </c>
      <c r="E5937">
        <v>2633</v>
      </c>
      <c r="F5937" s="1">
        <v>4.3E-3</v>
      </c>
      <c r="G5937" s="1">
        <v>0.99570000000000003</v>
      </c>
    </row>
    <row r="5938" spans="1:9" x14ac:dyDescent="0.25">
      <c r="A5938" t="s">
        <v>203</v>
      </c>
      <c r="B5938" t="s">
        <v>350</v>
      </c>
      <c r="C5938">
        <v>94</v>
      </c>
      <c r="D5938" t="s">
        <v>200</v>
      </c>
      <c r="E5938">
        <v>2633</v>
      </c>
      <c r="G5938" s="1">
        <v>1</v>
      </c>
    </row>
    <row r="5939" spans="1:9" x14ac:dyDescent="0.25">
      <c r="A5939" t="s">
        <v>203</v>
      </c>
      <c r="B5939" t="s">
        <v>348</v>
      </c>
      <c r="C5939">
        <v>62</v>
      </c>
      <c r="D5939" t="s">
        <v>201</v>
      </c>
      <c r="E5939">
        <v>2633</v>
      </c>
      <c r="F5939" s="1">
        <v>9.8000000000000004E-2</v>
      </c>
      <c r="G5939" s="1">
        <v>0.90200000000000002</v>
      </c>
    </row>
    <row r="5940" spans="1:9" x14ac:dyDescent="0.25">
      <c r="A5940" t="s">
        <v>203</v>
      </c>
      <c r="B5940" t="s">
        <v>349</v>
      </c>
      <c r="C5940">
        <v>147</v>
      </c>
      <c r="D5940" t="s">
        <v>201</v>
      </c>
      <c r="E5940">
        <v>2633</v>
      </c>
      <c r="F5940" s="1">
        <v>8.5000000000000006E-3</v>
      </c>
      <c r="G5940" s="1">
        <v>0.99150000000000005</v>
      </c>
    </row>
    <row r="5941" spans="1:9" x14ac:dyDescent="0.25">
      <c r="A5941" t="s">
        <v>203</v>
      </c>
      <c r="B5941" t="s">
        <v>350</v>
      </c>
      <c r="C5941">
        <v>105</v>
      </c>
      <c r="D5941" t="s">
        <v>201</v>
      </c>
      <c r="E5941">
        <v>2633</v>
      </c>
      <c r="F5941" s="1">
        <v>5.1499999999999997E-2</v>
      </c>
      <c r="G5941" s="1">
        <v>0.94850000000000001</v>
      </c>
    </row>
    <row r="5942" spans="1:9" x14ac:dyDescent="0.25">
      <c r="A5942" t="s">
        <v>203</v>
      </c>
      <c r="B5942" t="s">
        <v>348</v>
      </c>
      <c r="C5942">
        <v>90</v>
      </c>
      <c r="D5942" t="s">
        <v>202</v>
      </c>
      <c r="E5942">
        <v>2633</v>
      </c>
      <c r="F5942" s="1">
        <v>1.09E-2</v>
      </c>
      <c r="G5942" s="1">
        <v>0.98540000000000005</v>
      </c>
      <c r="H5942" s="1">
        <v>3.7000000000000002E-3</v>
      </c>
    </row>
    <row r="5943" spans="1:9" x14ac:dyDescent="0.25">
      <c r="A5943" t="s">
        <v>204</v>
      </c>
      <c r="B5943" t="s">
        <v>204</v>
      </c>
      <c r="C5943">
        <v>2633</v>
      </c>
      <c r="D5943" t="s">
        <v>204</v>
      </c>
      <c r="E5943">
        <v>2633</v>
      </c>
      <c r="F5943" s="1">
        <v>1.23E-2</v>
      </c>
      <c r="G5943" s="1">
        <v>0.98450000000000004</v>
      </c>
      <c r="H5943" s="1">
        <v>3.2000000000000002E-3</v>
      </c>
    </row>
    <row r="5945" spans="1:9" x14ac:dyDescent="0.25">
      <c r="A5945" t="s">
        <v>1159</v>
      </c>
    </row>
    <row r="5946" spans="1:9" x14ac:dyDescent="0.25">
      <c r="A5946" t="s">
        <v>189</v>
      </c>
      <c r="B5946" t="s">
        <v>190</v>
      </c>
      <c r="C5946" t="s">
        <v>754</v>
      </c>
      <c r="D5946" t="s">
        <v>1160</v>
      </c>
      <c r="E5946" t="s">
        <v>1161</v>
      </c>
      <c r="F5946" t="s">
        <v>1162</v>
      </c>
      <c r="G5946" t="s">
        <v>765</v>
      </c>
      <c r="H5946" t="s">
        <v>195</v>
      </c>
      <c r="I5946" t="s">
        <v>196</v>
      </c>
    </row>
    <row r="5947" spans="1:9" x14ac:dyDescent="0.25">
      <c r="A5947" t="s">
        <v>197</v>
      </c>
      <c r="B5947" t="s">
        <v>198</v>
      </c>
      <c r="C5947" t="s">
        <v>1163</v>
      </c>
      <c r="D5947" s="1">
        <v>7.6499999999999999E-2</v>
      </c>
      <c r="E5947" s="1">
        <v>3.15E-2</v>
      </c>
      <c r="F5947" s="1">
        <v>6.1400000000000003E-2</v>
      </c>
      <c r="G5947">
        <v>151</v>
      </c>
      <c r="H5947">
        <v>73</v>
      </c>
      <c r="I5947">
        <v>1973</v>
      </c>
    </row>
    <row r="5948" spans="1:9" x14ac:dyDescent="0.25">
      <c r="A5948" t="s">
        <v>197</v>
      </c>
      <c r="B5948" t="s">
        <v>198</v>
      </c>
      <c r="C5948" t="s">
        <v>1164</v>
      </c>
      <c r="D5948" s="1">
        <v>0.08</v>
      </c>
      <c r="E5948" s="1">
        <v>5.3100000000000001E-2</v>
      </c>
      <c r="F5948" s="1">
        <v>0.26800000000000002</v>
      </c>
      <c r="G5948">
        <v>151</v>
      </c>
      <c r="H5948">
        <v>73</v>
      </c>
      <c r="I5948">
        <v>1973</v>
      </c>
    </row>
    <row r="5949" spans="1:9" x14ac:dyDescent="0.25">
      <c r="A5949" t="s">
        <v>197</v>
      </c>
      <c r="B5949" t="s">
        <v>198</v>
      </c>
      <c r="C5949" t="s">
        <v>1165</v>
      </c>
      <c r="D5949" s="1">
        <v>2.3400000000000001E-2</v>
      </c>
      <c r="E5949" s="1">
        <v>1.6400000000000001E-2</v>
      </c>
      <c r="F5949" s="1">
        <v>6.1400000000000003E-2</v>
      </c>
      <c r="G5949">
        <v>151</v>
      </c>
      <c r="H5949">
        <v>73</v>
      </c>
      <c r="I5949">
        <v>1973</v>
      </c>
    </row>
    <row r="5950" spans="1:9" x14ac:dyDescent="0.25">
      <c r="A5950" t="s">
        <v>197</v>
      </c>
      <c r="B5950" t="s">
        <v>198</v>
      </c>
      <c r="C5950" t="s">
        <v>1166</v>
      </c>
      <c r="D5950" s="1">
        <v>6.6699999999999995E-2</v>
      </c>
      <c r="E5950" s="1">
        <v>0.30969999999999998</v>
      </c>
      <c r="F5950" s="1">
        <v>0.10440000000000001</v>
      </c>
      <c r="G5950">
        <v>151</v>
      </c>
      <c r="H5950">
        <v>73</v>
      </c>
      <c r="I5950">
        <v>1973</v>
      </c>
    </row>
    <row r="5951" spans="1:9" x14ac:dyDescent="0.25">
      <c r="A5951" t="s">
        <v>197</v>
      </c>
      <c r="B5951" t="s">
        <v>198</v>
      </c>
      <c r="C5951" t="s">
        <v>1167</v>
      </c>
      <c r="D5951" s="1">
        <v>8.3999999999999995E-3</v>
      </c>
      <c r="F5951" s="1">
        <v>4.5199999999999997E-2</v>
      </c>
      <c r="G5951">
        <v>151</v>
      </c>
      <c r="H5951">
        <v>73</v>
      </c>
      <c r="I5951">
        <v>1973</v>
      </c>
    </row>
    <row r="5952" spans="1:9" x14ac:dyDescent="0.25">
      <c r="A5952" t="s">
        <v>197</v>
      </c>
      <c r="B5952" t="s">
        <v>198</v>
      </c>
      <c r="C5952" t="s">
        <v>1168</v>
      </c>
      <c r="D5952" s="1">
        <v>2.4799999999999999E-2</v>
      </c>
      <c r="E5952" s="1">
        <v>7.4099999999999999E-2</v>
      </c>
      <c r="F5952" s="1">
        <v>4.7899999999999998E-2</v>
      </c>
      <c r="G5952">
        <v>151</v>
      </c>
      <c r="H5952">
        <v>73</v>
      </c>
      <c r="I5952">
        <v>1973</v>
      </c>
    </row>
    <row r="5953" spans="1:9" x14ac:dyDescent="0.25">
      <c r="A5953" t="s">
        <v>197</v>
      </c>
      <c r="B5953" t="s">
        <v>198</v>
      </c>
      <c r="C5953" t="s">
        <v>1169</v>
      </c>
      <c r="D5953" s="1">
        <v>1.24E-2</v>
      </c>
      <c r="F5953" s="1">
        <v>5.9700000000000003E-2</v>
      </c>
      <c r="G5953">
        <v>151</v>
      </c>
      <c r="H5953">
        <v>73</v>
      </c>
      <c r="I5953">
        <v>1973</v>
      </c>
    </row>
    <row r="5954" spans="1:9" x14ac:dyDescent="0.25">
      <c r="A5954" t="s">
        <v>197</v>
      </c>
      <c r="B5954" t="s">
        <v>198</v>
      </c>
      <c r="C5954" t="s">
        <v>1170</v>
      </c>
      <c r="D5954" s="1">
        <v>8.3999999999999995E-3</v>
      </c>
      <c r="E5954" s="1">
        <v>1.6400000000000001E-2</v>
      </c>
      <c r="F5954" s="1">
        <v>1.6199999999999999E-2</v>
      </c>
      <c r="G5954">
        <v>151</v>
      </c>
      <c r="H5954">
        <v>73</v>
      </c>
      <c r="I5954">
        <v>1973</v>
      </c>
    </row>
    <row r="5955" spans="1:9" x14ac:dyDescent="0.25">
      <c r="A5955" t="s">
        <v>197</v>
      </c>
      <c r="B5955" t="s">
        <v>198</v>
      </c>
      <c r="C5955" t="s">
        <v>1171</v>
      </c>
      <c r="D5955" s="1">
        <v>1.24E-2</v>
      </c>
      <c r="F5955" s="1">
        <v>2.9899999999999999E-2</v>
      </c>
      <c r="G5955">
        <v>151</v>
      </c>
      <c r="H5955">
        <v>73</v>
      </c>
      <c r="I5955">
        <v>1973</v>
      </c>
    </row>
    <row r="5956" spans="1:9" x14ac:dyDescent="0.25">
      <c r="A5956" t="s">
        <v>197</v>
      </c>
      <c r="B5956" t="s">
        <v>198</v>
      </c>
      <c r="C5956" t="s">
        <v>1172</v>
      </c>
      <c r="D5956" s="1">
        <v>0.58879999999999999</v>
      </c>
      <c r="E5956" s="1">
        <v>0.16059999999999999</v>
      </c>
      <c r="F5956" s="1">
        <v>7.7700000000000005E-2</v>
      </c>
      <c r="G5956">
        <v>151</v>
      </c>
      <c r="H5956">
        <v>73</v>
      </c>
      <c r="I5956">
        <v>1973</v>
      </c>
    </row>
    <row r="5957" spans="1:9" x14ac:dyDescent="0.25">
      <c r="A5957" t="s">
        <v>197</v>
      </c>
      <c r="B5957" t="s">
        <v>198</v>
      </c>
      <c r="C5957" t="s">
        <v>1173</v>
      </c>
      <c r="D5957" s="1">
        <v>9.8199999999999996E-2</v>
      </c>
      <c r="E5957" s="1">
        <v>0.1167</v>
      </c>
      <c r="F5957" s="1">
        <v>4.02E-2</v>
      </c>
      <c r="G5957">
        <v>151</v>
      </c>
      <c r="H5957">
        <v>73</v>
      </c>
      <c r="I5957">
        <v>1973</v>
      </c>
    </row>
    <row r="5958" spans="1:9" x14ac:dyDescent="0.25">
      <c r="A5958" t="s">
        <v>199</v>
      </c>
      <c r="B5958" t="s">
        <v>198</v>
      </c>
      <c r="C5958" t="s">
        <v>1174</v>
      </c>
      <c r="D5958" s="1">
        <v>4.4000000000000003E-3</v>
      </c>
      <c r="E5958" s="1">
        <v>3.2099999999999997E-2</v>
      </c>
      <c r="F5958" s="1">
        <v>4.4400000000000002E-2</v>
      </c>
      <c r="G5958">
        <v>274</v>
      </c>
      <c r="H5958">
        <v>298</v>
      </c>
      <c r="I5958">
        <v>1973</v>
      </c>
    </row>
    <row r="5959" spans="1:9" x14ac:dyDescent="0.25">
      <c r="A5959" t="s">
        <v>199</v>
      </c>
      <c r="B5959" t="s">
        <v>198</v>
      </c>
      <c r="C5959" t="s">
        <v>220</v>
      </c>
      <c r="D5959" s="1">
        <v>2.0999999999999999E-3</v>
      </c>
      <c r="E5959" s="1">
        <v>1.9199999999999998E-2</v>
      </c>
      <c r="F5959" s="1">
        <v>2.4899999999999999E-2</v>
      </c>
      <c r="G5959">
        <v>274</v>
      </c>
      <c r="H5959">
        <v>298</v>
      </c>
      <c r="I5959">
        <v>1973</v>
      </c>
    </row>
    <row r="5960" spans="1:9" x14ac:dyDescent="0.25">
      <c r="A5960" t="s">
        <v>199</v>
      </c>
      <c r="B5960" t="s">
        <v>198</v>
      </c>
      <c r="C5960" t="s">
        <v>1175</v>
      </c>
      <c r="D5960" s="1">
        <v>6.7999999999999996E-3</v>
      </c>
      <c r="E5960" s="1">
        <v>7.9299999999999995E-2</v>
      </c>
      <c r="F5960" s="1">
        <v>5.6099999999999997E-2</v>
      </c>
      <c r="G5960">
        <v>274</v>
      </c>
      <c r="H5960">
        <v>298</v>
      </c>
      <c r="I5960">
        <v>1973</v>
      </c>
    </row>
    <row r="5961" spans="1:9" x14ac:dyDescent="0.25">
      <c r="A5961" t="s">
        <v>199</v>
      </c>
      <c r="B5961" t="s">
        <v>198</v>
      </c>
      <c r="C5961" t="s">
        <v>1176</v>
      </c>
      <c r="D5961" s="1">
        <v>2.8999999999999998E-3</v>
      </c>
      <c r="E5961" s="1">
        <v>1.7299999999999999E-2</v>
      </c>
      <c r="F5961" s="1">
        <v>1.7600000000000001E-2</v>
      </c>
      <c r="G5961">
        <v>274</v>
      </c>
      <c r="H5961">
        <v>298</v>
      </c>
      <c r="I5961">
        <v>1973</v>
      </c>
    </row>
    <row r="5962" spans="1:9" x14ac:dyDescent="0.25">
      <c r="A5962" t="s">
        <v>199</v>
      </c>
      <c r="B5962" t="s">
        <v>198</v>
      </c>
      <c r="C5962" t="s">
        <v>1163</v>
      </c>
      <c r="D5962" s="1">
        <v>5.2400000000000002E-2</v>
      </c>
      <c r="E5962" s="1">
        <v>0.10340000000000001</v>
      </c>
      <c r="F5962" s="1">
        <v>7.1099999999999997E-2</v>
      </c>
      <c r="G5962">
        <v>274</v>
      </c>
      <c r="H5962">
        <v>298</v>
      </c>
      <c r="I5962">
        <v>1973</v>
      </c>
    </row>
    <row r="5963" spans="1:9" x14ac:dyDescent="0.25">
      <c r="A5963" t="s">
        <v>199</v>
      </c>
      <c r="B5963" t="s">
        <v>198</v>
      </c>
      <c r="C5963" t="s">
        <v>1164</v>
      </c>
      <c r="D5963" s="1">
        <v>3.3799999999999997E-2</v>
      </c>
      <c r="E5963" s="1">
        <v>7.51E-2</v>
      </c>
      <c r="F5963" s="1">
        <v>7.1800000000000003E-2</v>
      </c>
      <c r="G5963">
        <v>274</v>
      </c>
      <c r="H5963">
        <v>298</v>
      </c>
      <c r="I5963">
        <v>1973</v>
      </c>
    </row>
    <row r="5964" spans="1:9" x14ac:dyDescent="0.25">
      <c r="A5964" t="s">
        <v>199</v>
      </c>
      <c r="B5964" t="s">
        <v>198</v>
      </c>
      <c r="C5964" t="s">
        <v>1165</v>
      </c>
      <c r="D5964" s="1">
        <v>1.72E-2</v>
      </c>
      <c r="E5964" s="1">
        <v>3.5700000000000003E-2</v>
      </c>
      <c r="F5964" s="1">
        <v>4.0300000000000002E-2</v>
      </c>
      <c r="G5964">
        <v>274</v>
      </c>
      <c r="H5964">
        <v>298</v>
      </c>
      <c r="I5964">
        <v>1973</v>
      </c>
    </row>
    <row r="5965" spans="1:9" x14ac:dyDescent="0.25">
      <c r="A5965" t="s">
        <v>199</v>
      </c>
      <c r="B5965" t="s">
        <v>198</v>
      </c>
      <c r="C5965" t="s">
        <v>1177</v>
      </c>
      <c r="D5965" s="1">
        <v>3.5999999999999999E-3</v>
      </c>
      <c r="F5965" s="1">
        <v>1.06E-2</v>
      </c>
      <c r="G5965">
        <v>274</v>
      </c>
      <c r="H5965">
        <v>298</v>
      </c>
      <c r="I5965">
        <v>1973</v>
      </c>
    </row>
    <row r="5966" spans="1:9" x14ac:dyDescent="0.25">
      <c r="A5966" t="s">
        <v>199</v>
      </c>
      <c r="B5966" t="s">
        <v>198</v>
      </c>
      <c r="C5966" t="s">
        <v>1178</v>
      </c>
      <c r="D5966" s="1">
        <v>7.6E-3</v>
      </c>
      <c r="E5966" s="1">
        <v>1.29E-2</v>
      </c>
      <c r="F5966" s="1">
        <v>2.8999999999999998E-3</v>
      </c>
      <c r="G5966">
        <v>274</v>
      </c>
      <c r="H5966">
        <v>298</v>
      </c>
      <c r="I5966">
        <v>1973</v>
      </c>
    </row>
    <row r="5967" spans="1:9" x14ac:dyDescent="0.25">
      <c r="A5967" t="s">
        <v>199</v>
      </c>
      <c r="B5967" t="s">
        <v>198</v>
      </c>
      <c r="C5967" t="s">
        <v>1179</v>
      </c>
      <c r="D5967" s="1">
        <v>2.8E-3</v>
      </c>
      <c r="E5967" s="1">
        <v>3.4299999999999997E-2</v>
      </c>
      <c r="F5967" s="1">
        <v>3.0599999999999999E-2</v>
      </c>
      <c r="G5967">
        <v>274</v>
      </c>
      <c r="H5967">
        <v>298</v>
      </c>
      <c r="I5967">
        <v>1973</v>
      </c>
    </row>
    <row r="5968" spans="1:9" x14ac:dyDescent="0.25">
      <c r="A5968" t="s">
        <v>199</v>
      </c>
      <c r="B5968" t="s">
        <v>198</v>
      </c>
      <c r="C5968" t="s">
        <v>1166</v>
      </c>
      <c r="D5968" s="1">
        <v>1.8700000000000001E-2</v>
      </c>
      <c r="E5968" s="1">
        <v>9.0499999999999997E-2</v>
      </c>
      <c r="F5968" s="1">
        <v>0.1769</v>
      </c>
      <c r="G5968">
        <v>274</v>
      </c>
      <c r="H5968">
        <v>298</v>
      </c>
      <c r="I5968">
        <v>1973</v>
      </c>
    </row>
    <row r="5969" spans="1:9" x14ac:dyDescent="0.25">
      <c r="A5969" t="s">
        <v>199</v>
      </c>
      <c r="B5969" t="s">
        <v>198</v>
      </c>
      <c r="C5969" t="s">
        <v>1167</v>
      </c>
      <c r="D5969" s="1">
        <v>4.4999999999999997E-3</v>
      </c>
      <c r="E5969" s="1">
        <v>7.9000000000000008E-3</v>
      </c>
      <c r="F5969" s="1">
        <v>1.0699999999999999E-2</v>
      </c>
      <c r="G5969">
        <v>274</v>
      </c>
      <c r="H5969">
        <v>298</v>
      </c>
      <c r="I5969">
        <v>1973</v>
      </c>
    </row>
    <row r="5970" spans="1:9" x14ac:dyDescent="0.25">
      <c r="A5970" t="s">
        <v>199</v>
      </c>
      <c r="B5970" t="s">
        <v>198</v>
      </c>
      <c r="C5970" t="s">
        <v>1168</v>
      </c>
      <c r="D5970" s="1">
        <v>1.54E-2</v>
      </c>
      <c r="E5970" s="1">
        <v>1.9099999999999999E-2</v>
      </c>
      <c r="F5970" s="1">
        <v>0.1186</v>
      </c>
      <c r="G5970">
        <v>274</v>
      </c>
      <c r="H5970">
        <v>298</v>
      </c>
      <c r="I5970">
        <v>1973</v>
      </c>
    </row>
    <row r="5971" spans="1:9" x14ac:dyDescent="0.25">
      <c r="A5971" t="s">
        <v>199</v>
      </c>
      <c r="B5971" t="s">
        <v>198</v>
      </c>
      <c r="C5971" t="s">
        <v>1169</v>
      </c>
      <c r="D5971" s="1">
        <v>1.8E-3</v>
      </c>
      <c r="E5971" s="1">
        <v>5.7000000000000002E-3</v>
      </c>
      <c r="F5971" s="1">
        <v>1.18E-2</v>
      </c>
      <c r="G5971">
        <v>274</v>
      </c>
      <c r="H5971">
        <v>298</v>
      </c>
      <c r="I5971">
        <v>1973</v>
      </c>
    </row>
    <row r="5972" spans="1:9" x14ac:dyDescent="0.25">
      <c r="A5972" t="s">
        <v>199</v>
      </c>
      <c r="B5972" t="s">
        <v>198</v>
      </c>
      <c r="C5972" t="s">
        <v>1170</v>
      </c>
      <c r="D5972" s="1">
        <v>1.47E-2</v>
      </c>
      <c r="E5972" s="1">
        <v>1.9800000000000002E-2</v>
      </c>
      <c r="F5972" s="1">
        <v>1.7100000000000001E-2</v>
      </c>
      <c r="G5972">
        <v>274</v>
      </c>
      <c r="H5972">
        <v>298</v>
      </c>
      <c r="I5972">
        <v>1973</v>
      </c>
    </row>
    <row r="5973" spans="1:9" x14ac:dyDescent="0.25">
      <c r="A5973" t="s">
        <v>199</v>
      </c>
      <c r="B5973" t="s">
        <v>198</v>
      </c>
      <c r="C5973" t="s">
        <v>1180</v>
      </c>
      <c r="D5973" s="1">
        <v>2.5999999999999999E-3</v>
      </c>
      <c r="E5973" s="1">
        <v>1.17E-2</v>
      </c>
      <c r="F5973" s="1">
        <v>1.7399999999999999E-2</v>
      </c>
      <c r="G5973">
        <v>274</v>
      </c>
      <c r="H5973">
        <v>298</v>
      </c>
      <c r="I5973">
        <v>1973</v>
      </c>
    </row>
    <row r="5974" spans="1:9" x14ac:dyDescent="0.25">
      <c r="A5974" t="s">
        <v>199</v>
      </c>
      <c r="B5974" t="s">
        <v>198</v>
      </c>
      <c r="C5974" t="s">
        <v>1172</v>
      </c>
      <c r="D5974" s="1">
        <v>0.38719999999999999</v>
      </c>
      <c r="E5974" s="1">
        <v>0.28410000000000002</v>
      </c>
      <c r="F5974" s="1">
        <v>0.1409</v>
      </c>
      <c r="G5974">
        <v>274</v>
      </c>
      <c r="H5974">
        <v>298</v>
      </c>
      <c r="I5974">
        <v>1973</v>
      </c>
    </row>
    <row r="5975" spans="1:9" x14ac:dyDescent="0.25">
      <c r="A5975" t="s">
        <v>199</v>
      </c>
      <c r="B5975" t="s">
        <v>198</v>
      </c>
      <c r="C5975" t="s">
        <v>1173</v>
      </c>
      <c r="D5975" s="1">
        <v>0.42159999999999997</v>
      </c>
      <c r="E5975" s="1">
        <v>0.14810000000000001</v>
      </c>
      <c r="F5975" s="1">
        <v>6.1400000000000003E-2</v>
      </c>
      <c r="G5975">
        <v>274</v>
      </c>
      <c r="H5975">
        <v>298</v>
      </c>
      <c r="I5975">
        <v>1973</v>
      </c>
    </row>
    <row r="5976" spans="1:9" x14ac:dyDescent="0.25">
      <c r="A5976" t="s">
        <v>200</v>
      </c>
      <c r="B5976" t="s">
        <v>198</v>
      </c>
      <c r="C5976" t="s">
        <v>1174</v>
      </c>
      <c r="D5976" s="1">
        <v>6.3E-3</v>
      </c>
      <c r="E5976" s="1">
        <v>1.0200000000000001E-2</v>
      </c>
      <c r="F5976" s="1">
        <v>1.5299999999999999E-2</v>
      </c>
      <c r="G5976">
        <v>237</v>
      </c>
      <c r="H5976">
        <v>285</v>
      </c>
      <c r="I5976">
        <v>1973</v>
      </c>
    </row>
    <row r="5977" spans="1:9" x14ac:dyDescent="0.25">
      <c r="A5977" t="s">
        <v>200</v>
      </c>
      <c r="B5977" t="s">
        <v>198</v>
      </c>
      <c r="C5977" t="s">
        <v>220</v>
      </c>
      <c r="D5977" s="1">
        <v>8.8000000000000005E-3</v>
      </c>
      <c r="E5977" s="1">
        <v>6.3700000000000007E-2</v>
      </c>
      <c r="F5977" s="1">
        <v>9.5299999999999996E-2</v>
      </c>
      <c r="G5977">
        <v>237</v>
      </c>
      <c r="H5977">
        <v>285</v>
      </c>
      <c r="I5977">
        <v>1973</v>
      </c>
    </row>
    <row r="5978" spans="1:9" x14ac:dyDescent="0.25">
      <c r="A5978" t="s">
        <v>200</v>
      </c>
      <c r="B5978" t="s">
        <v>198</v>
      </c>
      <c r="C5978" t="s">
        <v>1175</v>
      </c>
      <c r="D5978" s="1">
        <v>8.3000000000000001E-3</v>
      </c>
      <c r="E5978" s="1">
        <v>4.7399999999999998E-2</v>
      </c>
      <c r="F5978" s="1">
        <v>0.1106</v>
      </c>
      <c r="G5978">
        <v>237</v>
      </c>
      <c r="H5978">
        <v>285</v>
      </c>
      <c r="I5978">
        <v>1973</v>
      </c>
    </row>
    <row r="5979" spans="1:9" x14ac:dyDescent="0.25">
      <c r="A5979" t="s">
        <v>200</v>
      </c>
      <c r="B5979" t="s">
        <v>198</v>
      </c>
      <c r="C5979" t="s">
        <v>1176</v>
      </c>
      <c r="D5979" s="1">
        <v>3.5000000000000001E-3</v>
      </c>
      <c r="E5979" s="1">
        <v>1.24E-2</v>
      </c>
      <c r="F5979" s="1">
        <v>5.9999999999999995E-4</v>
      </c>
      <c r="G5979">
        <v>237</v>
      </c>
      <c r="H5979">
        <v>285</v>
      </c>
      <c r="I5979">
        <v>1973</v>
      </c>
    </row>
    <row r="5980" spans="1:9" x14ac:dyDescent="0.25">
      <c r="A5980" t="s">
        <v>200</v>
      </c>
      <c r="B5980" t="s">
        <v>198</v>
      </c>
      <c r="C5980" t="s">
        <v>1163</v>
      </c>
      <c r="D5980" s="1">
        <v>0.11119999999999999</v>
      </c>
      <c r="E5980" s="1">
        <v>7.8299999999999995E-2</v>
      </c>
      <c r="F5980" s="1">
        <v>7.2800000000000004E-2</v>
      </c>
      <c r="G5980">
        <v>237</v>
      </c>
      <c r="H5980">
        <v>285</v>
      </c>
      <c r="I5980">
        <v>1973</v>
      </c>
    </row>
    <row r="5981" spans="1:9" x14ac:dyDescent="0.25">
      <c r="A5981" t="s">
        <v>200</v>
      </c>
      <c r="B5981" t="s">
        <v>198</v>
      </c>
      <c r="C5981" t="s">
        <v>1164</v>
      </c>
      <c r="D5981" s="1">
        <v>7.0300000000000001E-2</v>
      </c>
      <c r="E5981" s="1">
        <v>0.14230000000000001</v>
      </c>
      <c r="F5981" s="1">
        <v>0.1242</v>
      </c>
      <c r="G5981">
        <v>237</v>
      </c>
      <c r="H5981">
        <v>285</v>
      </c>
      <c r="I5981">
        <v>1973</v>
      </c>
    </row>
    <row r="5982" spans="1:9" x14ac:dyDescent="0.25">
      <c r="A5982" t="s">
        <v>200</v>
      </c>
      <c r="B5982" t="s">
        <v>198</v>
      </c>
      <c r="C5982" t="s">
        <v>1165</v>
      </c>
      <c r="D5982" s="1">
        <v>3.1300000000000001E-2</v>
      </c>
      <c r="E5982" s="1">
        <v>8.6099999999999996E-2</v>
      </c>
      <c r="F5982" s="1">
        <v>7.0999999999999994E-2</v>
      </c>
      <c r="G5982">
        <v>237</v>
      </c>
      <c r="H5982">
        <v>285</v>
      </c>
      <c r="I5982">
        <v>1973</v>
      </c>
    </row>
    <row r="5983" spans="1:9" x14ac:dyDescent="0.25">
      <c r="A5983" t="s">
        <v>200</v>
      </c>
      <c r="B5983" t="s">
        <v>198</v>
      </c>
      <c r="C5983" t="s">
        <v>1177</v>
      </c>
      <c r="D5983" s="1">
        <v>5.8999999999999999E-3</v>
      </c>
      <c r="E5983" s="1">
        <v>3.3999999999999998E-3</v>
      </c>
      <c r="G5983">
        <v>237</v>
      </c>
      <c r="H5983">
        <v>285</v>
      </c>
      <c r="I5983">
        <v>1973</v>
      </c>
    </row>
    <row r="5984" spans="1:9" x14ac:dyDescent="0.25">
      <c r="A5984" t="s">
        <v>200</v>
      </c>
      <c r="B5984" t="s">
        <v>198</v>
      </c>
      <c r="C5984" t="s">
        <v>1178</v>
      </c>
      <c r="D5984" s="1">
        <v>1E-4</v>
      </c>
      <c r="G5984">
        <v>237</v>
      </c>
      <c r="H5984">
        <v>285</v>
      </c>
      <c r="I5984">
        <v>1973</v>
      </c>
    </row>
    <row r="5985" spans="1:9" x14ac:dyDescent="0.25">
      <c r="A5985" t="s">
        <v>200</v>
      </c>
      <c r="B5985" t="s">
        <v>198</v>
      </c>
      <c r="C5985" t="s">
        <v>1179</v>
      </c>
      <c r="D5985" s="1">
        <v>1E-4</v>
      </c>
      <c r="E5985" s="1">
        <v>1.41E-2</v>
      </c>
      <c r="F5985" s="1">
        <v>4.0899999999999999E-2</v>
      </c>
      <c r="G5985">
        <v>237</v>
      </c>
      <c r="H5985">
        <v>285</v>
      </c>
      <c r="I5985">
        <v>1973</v>
      </c>
    </row>
    <row r="5986" spans="1:9" x14ac:dyDescent="0.25">
      <c r="A5986" t="s">
        <v>200</v>
      </c>
      <c r="B5986" t="s">
        <v>198</v>
      </c>
      <c r="C5986" t="s">
        <v>1166</v>
      </c>
      <c r="D5986" s="1">
        <v>4.4699999999999997E-2</v>
      </c>
      <c r="E5986" s="1">
        <v>0.1104</v>
      </c>
      <c r="F5986" s="1">
        <v>9.2999999999999999E-2</v>
      </c>
      <c r="G5986">
        <v>237</v>
      </c>
      <c r="H5986">
        <v>285</v>
      </c>
      <c r="I5986">
        <v>1973</v>
      </c>
    </row>
    <row r="5987" spans="1:9" x14ac:dyDescent="0.25">
      <c r="A5987" t="s">
        <v>200</v>
      </c>
      <c r="B5987" t="s">
        <v>198</v>
      </c>
      <c r="C5987" t="s">
        <v>1167</v>
      </c>
      <c r="D5987" s="1">
        <v>6.3E-3</v>
      </c>
      <c r="E5987" s="1">
        <v>5.5999999999999999E-3</v>
      </c>
      <c r="G5987">
        <v>237</v>
      </c>
      <c r="H5987">
        <v>285</v>
      </c>
      <c r="I5987">
        <v>1973</v>
      </c>
    </row>
    <row r="5988" spans="1:9" x14ac:dyDescent="0.25">
      <c r="A5988" t="s">
        <v>200</v>
      </c>
      <c r="B5988" t="s">
        <v>198</v>
      </c>
      <c r="C5988" t="s">
        <v>1168</v>
      </c>
      <c r="D5988" s="1">
        <v>1.3100000000000001E-2</v>
      </c>
      <c r="E5988" s="1">
        <v>6.4100000000000004E-2</v>
      </c>
      <c r="F5988" s="1">
        <v>6.7599999999999993E-2</v>
      </c>
      <c r="G5988">
        <v>237</v>
      </c>
      <c r="H5988">
        <v>285</v>
      </c>
      <c r="I5988">
        <v>1973</v>
      </c>
    </row>
    <row r="5989" spans="1:9" x14ac:dyDescent="0.25">
      <c r="A5989" t="s">
        <v>200</v>
      </c>
      <c r="B5989" t="s">
        <v>198</v>
      </c>
      <c r="C5989" t="s">
        <v>1169</v>
      </c>
      <c r="D5989" s="1">
        <v>1E-4</v>
      </c>
      <c r="F5989" s="1">
        <v>1.3299999999999999E-2</v>
      </c>
      <c r="G5989">
        <v>237</v>
      </c>
      <c r="H5989">
        <v>285</v>
      </c>
      <c r="I5989">
        <v>1973</v>
      </c>
    </row>
    <row r="5990" spans="1:9" x14ac:dyDescent="0.25">
      <c r="A5990" t="s">
        <v>200</v>
      </c>
      <c r="B5990" t="s">
        <v>198</v>
      </c>
      <c r="C5990" t="s">
        <v>1170</v>
      </c>
      <c r="D5990" s="1">
        <v>6.4000000000000003E-3</v>
      </c>
      <c r="E5990" s="1">
        <v>3.5000000000000001E-3</v>
      </c>
      <c r="F5990" s="1">
        <v>7.7200000000000005E-2</v>
      </c>
      <c r="G5990">
        <v>237</v>
      </c>
      <c r="H5990">
        <v>285</v>
      </c>
      <c r="I5990">
        <v>1973</v>
      </c>
    </row>
    <row r="5991" spans="1:9" x14ac:dyDescent="0.25">
      <c r="A5991" t="s">
        <v>200</v>
      </c>
      <c r="B5991" t="s">
        <v>198</v>
      </c>
      <c r="C5991" t="s">
        <v>1180</v>
      </c>
      <c r="D5991" s="1">
        <v>1.5699999999999999E-2</v>
      </c>
      <c r="E5991" s="1">
        <v>2.9000000000000001E-2</v>
      </c>
      <c r="F5991" s="1">
        <v>2.75E-2</v>
      </c>
      <c r="G5991">
        <v>237</v>
      </c>
      <c r="H5991">
        <v>285</v>
      </c>
      <c r="I5991">
        <v>1973</v>
      </c>
    </row>
    <row r="5992" spans="1:9" x14ac:dyDescent="0.25">
      <c r="A5992" t="s">
        <v>200</v>
      </c>
      <c r="B5992" t="s">
        <v>198</v>
      </c>
      <c r="C5992" t="s">
        <v>1172</v>
      </c>
      <c r="D5992" s="1">
        <v>0.40129999999999999</v>
      </c>
      <c r="E5992" s="1">
        <v>0.24709999999999999</v>
      </c>
      <c r="F5992" s="1">
        <v>0.1245</v>
      </c>
      <c r="G5992">
        <v>237</v>
      </c>
      <c r="H5992">
        <v>285</v>
      </c>
      <c r="I5992">
        <v>1973</v>
      </c>
    </row>
    <row r="5993" spans="1:9" x14ac:dyDescent="0.25">
      <c r="A5993" t="s">
        <v>200</v>
      </c>
      <c r="B5993" t="s">
        <v>198</v>
      </c>
      <c r="C5993" t="s">
        <v>1173</v>
      </c>
      <c r="D5993" s="1">
        <v>0.25929999999999997</v>
      </c>
      <c r="E5993" s="1">
        <v>5.96E-2</v>
      </c>
      <c r="F5993" s="1">
        <v>4.8399999999999999E-2</v>
      </c>
      <c r="G5993">
        <v>237</v>
      </c>
      <c r="H5993">
        <v>285</v>
      </c>
      <c r="I5993">
        <v>1973</v>
      </c>
    </row>
    <row r="5994" spans="1:9" x14ac:dyDescent="0.25">
      <c r="A5994" t="s">
        <v>200</v>
      </c>
      <c r="B5994" t="s">
        <v>198</v>
      </c>
      <c r="C5994" t="s">
        <v>235</v>
      </c>
      <c r="D5994" s="1">
        <v>4.7999999999999996E-3</v>
      </c>
      <c r="E5994" s="1">
        <v>1.7000000000000001E-2</v>
      </c>
      <c r="G5994">
        <v>237</v>
      </c>
      <c r="H5994">
        <v>285</v>
      </c>
      <c r="I5994">
        <v>1973</v>
      </c>
    </row>
    <row r="5995" spans="1:9" x14ac:dyDescent="0.25">
      <c r="A5995" t="s">
        <v>200</v>
      </c>
      <c r="B5995" t="s">
        <v>198</v>
      </c>
      <c r="C5995" t="s">
        <v>215</v>
      </c>
      <c r="D5995" s="1">
        <v>2.3999999999999998E-3</v>
      </c>
      <c r="E5995" s="1">
        <v>2.0000000000000001E-4</v>
      </c>
      <c r="G5995">
        <v>237</v>
      </c>
      <c r="H5995">
        <v>285</v>
      </c>
      <c r="I5995">
        <v>1973</v>
      </c>
    </row>
    <row r="5996" spans="1:9" x14ac:dyDescent="0.25">
      <c r="A5996" t="s">
        <v>201</v>
      </c>
      <c r="B5996" t="s">
        <v>198</v>
      </c>
      <c r="C5996" t="s">
        <v>220</v>
      </c>
      <c r="D5996" s="1">
        <v>1.6299999999999999E-2</v>
      </c>
      <c r="E5996" s="1">
        <v>1.4E-2</v>
      </c>
      <c r="F5996" s="1">
        <v>6.2799999999999995E-2</v>
      </c>
      <c r="G5996">
        <v>98</v>
      </c>
      <c r="H5996">
        <v>205</v>
      </c>
      <c r="I5996">
        <v>1973</v>
      </c>
    </row>
    <row r="5997" spans="1:9" x14ac:dyDescent="0.25">
      <c r="A5997" t="s">
        <v>201</v>
      </c>
      <c r="B5997" t="s">
        <v>198</v>
      </c>
      <c r="C5997" t="s">
        <v>1175</v>
      </c>
      <c r="D5997" s="1">
        <v>4.4000000000000003E-3</v>
      </c>
      <c r="E5997" s="1">
        <v>0.1203</v>
      </c>
      <c r="F5997" s="1">
        <v>6.0499999999999998E-2</v>
      </c>
      <c r="G5997">
        <v>98</v>
      </c>
      <c r="H5997">
        <v>205</v>
      </c>
      <c r="I5997">
        <v>1973</v>
      </c>
    </row>
    <row r="5998" spans="1:9" x14ac:dyDescent="0.25">
      <c r="A5998" t="s">
        <v>201</v>
      </c>
      <c r="B5998" t="s">
        <v>198</v>
      </c>
      <c r="C5998" t="s">
        <v>1176</v>
      </c>
      <c r="D5998" s="1">
        <v>7.0000000000000001E-3</v>
      </c>
      <c r="E5998" s="1">
        <v>2.3300000000000001E-2</v>
      </c>
      <c r="F5998" s="1">
        <v>3.3300000000000003E-2</v>
      </c>
      <c r="G5998">
        <v>98</v>
      </c>
      <c r="H5998">
        <v>205</v>
      </c>
      <c r="I5998">
        <v>1973</v>
      </c>
    </row>
    <row r="5999" spans="1:9" x14ac:dyDescent="0.25">
      <c r="A5999" t="s">
        <v>201</v>
      </c>
      <c r="B5999" t="s">
        <v>198</v>
      </c>
      <c r="C5999" t="s">
        <v>1163</v>
      </c>
      <c r="D5999" s="1">
        <v>8.8599999999999998E-2</v>
      </c>
      <c r="E5999" s="1">
        <v>0.13980000000000001</v>
      </c>
      <c r="F5999" s="1">
        <v>5.21E-2</v>
      </c>
      <c r="G5999">
        <v>98</v>
      </c>
      <c r="H5999">
        <v>205</v>
      </c>
      <c r="I5999">
        <v>1973</v>
      </c>
    </row>
    <row r="6000" spans="1:9" x14ac:dyDescent="0.25">
      <c r="A6000" t="s">
        <v>201</v>
      </c>
      <c r="B6000" t="s">
        <v>198</v>
      </c>
      <c r="C6000" t="s">
        <v>1181</v>
      </c>
      <c r="D6000" s="1">
        <v>3.5999999999999999E-3</v>
      </c>
      <c r="E6000" s="1">
        <v>5.1000000000000004E-3</v>
      </c>
      <c r="F6000" s="1">
        <v>1.0200000000000001E-2</v>
      </c>
      <c r="G6000">
        <v>98</v>
      </c>
      <c r="H6000">
        <v>205</v>
      </c>
      <c r="I6000">
        <v>1973</v>
      </c>
    </row>
    <row r="6001" spans="1:9" x14ac:dyDescent="0.25">
      <c r="A6001" t="s">
        <v>201</v>
      </c>
      <c r="B6001" t="s">
        <v>198</v>
      </c>
      <c r="C6001" t="s">
        <v>1164</v>
      </c>
      <c r="D6001" s="1">
        <v>2.3900000000000001E-2</v>
      </c>
      <c r="E6001" s="1">
        <v>3.9699999999999999E-2</v>
      </c>
      <c r="F6001" s="1">
        <v>0.12759999999999999</v>
      </c>
      <c r="G6001">
        <v>98</v>
      </c>
      <c r="H6001">
        <v>205</v>
      </c>
      <c r="I6001">
        <v>1973</v>
      </c>
    </row>
    <row r="6002" spans="1:9" x14ac:dyDescent="0.25">
      <c r="A6002" t="s">
        <v>201</v>
      </c>
      <c r="B6002" t="s">
        <v>198</v>
      </c>
      <c r="C6002" t="s">
        <v>1165</v>
      </c>
      <c r="D6002" s="1">
        <v>2.1499999999999998E-2</v>
      </c>
      <c r="E6002" s="1">
        <v>0.06</v>
      </c>
      <c r="F6002" s="1">
        <v>2.7900000000000001E-2</v>
      </c>
      <c r="G6002">
        <v>98</v>
      </c>
      <c r="H6002">
        <v>205</v>
      </c>
      <c r="I6002">
        <v>1973</v>
      </c>
    </row>
    <row r="6003" spans="1:9" x14ac:dyDescent="0.25">
      <c r="A6003" t="s">
        <v>201</v>
      </c>
      <c r="B6003" t="s">
        <v>198</v>
      </c>
      <c r="C6003" t="s">
        <v>1178</v>
      </c>
      <c r="D6003" s="1">
        <v>1.9E-3</v>
      </c>
      <c r="F6003" s="1">
        <v>2.5999999999999999E-2</v>
      </c>
      <c r="G6003">
        <v>98</v>
      </c>
      <c r="H6003">
        <v>205</v>
      </c>
      <c r="I6003">
        <v>1973</v>
      </c>
    </row>
    <row r="6004" spans="1:9" x14ac:dyDescent="0.25">
      <c r="A6004" t="s">
        <v>201</v>
      </c>
      <c r="B6004" t="s">
        <v>198</v>
      </c>
      <c r="C6004" t="s">
        <v>1179</v>
      </c>
      <c r="D6004" s="1">
        <v>8.0000000000000004E-4</v>
      </c>
      <c r="E6004" s="1">
        <v>1.7999999999999999E-2</v>
      </c>
      <c r="G6004">
        <v>98</v>
      </c>
      <c r="H6004">
        <v>205</v>
      </c>
      <c r="I6004">
        <v>1973</v>
      </c>
    </row>
    <row r="6005" spans="1:9" x14ac:dyDescent="0.25">
      <c r="A6005" t="s">
        <v>201</v>
      </c>
      <c r="B6005" t="s">
        <v>198</v>
      </c>
      <c r="C6005" t="s">
        <v>1166</v>
      </c>
      <c r="D6005" s="1">
        <v>5.1299999999999998E-2</v>
      </c>
      <c r="E6005" s="1">
        <v>0.13469999999999999</v>
      </c>
      <c r="F6005" s="1">
        <v>0.17330000000000001</v>
      </c>
      <c r="G6005">
        <v>98</v>
      </c>
      <c r="H6005">
        <v>205</v>
      </c>
      <c r="I6005">
        <v>1973</v>
      </c>
    </row>
    <row r="6006" spans="1:9" x14ac:dyDescent="0.25">
      <c r="A6006" t="s">
        <v>201</v>
      </c>
      <c r="B6006" t="s">
        <v>198</v>
      </c>
      <c r="C6006" t="s">
        <v>1168</v>
      </c>
      <c r="D6006" s="1">
        <v>4.2200000000000001E-2</v>
      </c>
      <c r="E6006" s="1">
        <v>8.5000000000000006E-2</v>
      </c>
      <c r="F6006" s="1">
        <v>0.12740000000000001</v>
      </c>
      <c r="G6006">
        <v>98</v>
      </c>
      <c r="H6006">
        <v>205</v>
      </c>
      <c r="I6006">
        <v>1973</v>
      </c>
    </row>
    <row r="6007" spans="1:9" x14ac:dyDescent="0.25">
      <c r="A6007" t="s">
        <v>201</v>
      </c>
      <c r="B6007" t="s">
        <v>198</v>
      </c>
      <c r="C6007" t="s">
        <v>1170</v>
      </c>
      <c r="D6007" s="1">
        <v>3.5999999999999999E-3</v>
      </c>
      <c r="E6007" s="1">
        <v>4.7600000000000003E-2</v>
      </c>
      <c r="F6007" s="1">
        <v>1.7399999999999999E-2</v>
      </c>
      <c r="G6007">
        <v>98</v>
      </c>
      <c r="H6007">
        <v>205</v>
      </c>
      <c r="I6007">
        <v>1973</v>
      </c>
    </row>
    <row r="6008" spans="1:9" x14ac:dyDescent="0.25">
      <c r="A6008" t="s">
        <v>201</v>
      </c>
      <c r="B6008" t="s">
        <v>198</v>
      </c>
      <c r="C6008" t="s">
        <v>1180</v>
      </c>
      <c r="D6008" s="1">
        <v>1.15E-2</v>
      </c>
      <c r="E6008" s="1">
        <v>3.3700000000000001E-2</v>
      </c>
      <c r="F6008" s="1">
        <v>5.7599999999999998E-2</v>
      </c>
      <c r="G6008">
        <v>98</v>
      </c>
      <c r="H6008">
        <v>205</v>
      </c>
      <c r="I6008">
        <v>1973</v>
      </c>
    </row>
    <row r="6009" spans="1:9" x14ac:dyDescent="0.25">
      <c r="A6009" t="s">
        <v>201</v>
      </c>
      <c r="B6009" t="s">
        <v>198</v>
      </c>
      <c r="C6009" t="s">
        <v>1172</v>
      </c>
      <c r="D6009" s="1">
        <v>0.50539999999999996</v>
      </c>
      <c r="E6009" s="1">
        <v>0.161</v>
      </c>
      <c r="F6009" s="1">
        <v>0.1013</v>
      </c>
      <c r="G6009">
        <v>98</v>
      </c>
      <c r="H6009">
        <v>205</v>
      </c>
      <c r="I6009">
        <v>1973</v>
      </c>
    </row>
    <row r="6010" spans="1:9" x14ac:dyDescent="0.25">
      <c r="A6010" t="s">
        <v>201</v>
      </c>
      <c r="B6010" t="s">
        <v>198</v>
      </c>
      <c r="C6010" t="s">
        <v>1173</v>
      </c>
      <c r="D6010" s="1">
        <v>0.2172</v>
      </c>
      <c r="E6010" s="1">
        <v>6.1199999999999997E-2</v>
      </c>
      <c r="F6010" s="1">
        <v>2.8999999999999998E-3</v>
      </c>
      <c r="G6010">
        <v>98</v>
      </c>
      <c r="H6010">
        <v>205</v>
      </c>
      <c r="I6010">
        <v>1973</v>
      </c>
    </row>
    <row r="6011" spans="1:9" x14ac:dyDescent="0.25">
      <c r="A6011" t="s">
        <v>201</v>
      </c>
      <c r="B6011" t="s">
        <v>198</v>
      </c>
      <c r="C6011" t="s">
        <v>215</v>
      </c>
      <c r="D6011" s="1">
        <v>8.0000000000000004E-4</v>
      </c>
      <c r="G6011">
        <v>98</v>
      </c>
      <c r="H6011">
        <v>205</v>
      </c>
      <c r="I6011">
        <v>1973</v>
      </c>
    </row>
    <row r="6012" spans="1:9" x14ac:dyDescent="0.25">
      <c r="A6012" t="s">
        <v>202</v>
      </c>
      <c r="B6012" t="s">
        <v>198</v>
      </c>
      <c r="C6012" t="s">
        <v>1175</v>
      </c>
      <c r="D6012" s="1">
        <v>3.2000000000000002E-3</v>
      </c>
      <c r="E6012" s="1">
        <v>7.0199999999999999E-2</v>
      </c>
      <c r="F6012" s="1">
        <v>8.0799999999999997E-2</v>
      </c>
      <c r="G6012">
        <v>197</v>
      </c>
      <c r="H6012">
        <v>80</v>
      </c>
      <c r="I6012">
        <v>1973</v>
      </c>
    </row>
    <row r="6013" spans="1:9" x14ac:dyDescent="0.25">
      <c r="A6013" t="s">
        <v>202</v>
      </c>
      <c r="B6013" t="s">
        <v>198</v>
      </c>
      <c r="C6013" t="s">
        <v>1176</v>
      </c>
      <c r="D6013" s="1">
        <v>3.2000000000000002E-3</v>
      </c>
      <c r="E6013" s="1">
        <v>4.0899999999999999E-2</v>
      </c>
      <c r="G6013">
        <v>197</v>
      </c>
      <c r="H6013">
        <v>80</v>
      </c>
      <c r="I6013">
        <v>1973</v>
      </c>
    </row>
    <row r="6014" spans="1:9" x14ac:dyDescent="0.25">
      <c r="A6014" t="s">
        <v>202</v>
      </c>
      <c r="B6014" t="s">
        <v>198</v>
      </c>
      <c r="C6014" t="s">
        <v>1163</v>
      </c>
      <c r="D6014" s="1">
        <v>4.53E-2</v>
      </c>
      <c r="E6014" s="1">
        <v>3.95E-2</v>
      </c>
      <c r="F6014" s="1">
        <v>4.6899999999999997E-2</v>
      </c>
      <c r="G6014">
        <v>197</v>
      </c>
      <c r="H6014">
        <v>80</v>
      </c>
      <c r="I6014">
        <v>1973</v>
      </c>
    </row>
    <row r="6015" spans="1:9" x14ac:dyDescent="0.25">
      <c r="A6015" t="s">
        <v>202</v>
      </c>
      <c r="B6015" t="s">
        <v>198</v>
      </c>
      <c r="C6015" t="s">
        <v>1164</v>
      </c>
      <c r="D6015" s="1">
        <v>4.8300000000000003E-2</v>
      </c>
      <c r="E6015" s="1">
        <v>0.1676</v>
      </c>
      <c r="F6015" s="1">
        <v>0.2606</v>
      </c>
      <c r="G6015">
        <v>197</v>
      </c>
      <c r="H6015">
        <v>80</v>
      </c>
      <c r="I6015">
        <v>1973</v>
      </c>
    </row>
    <row r="6016" spans="1:9" x14ac:dyDescent="0.25">
      <c r="A6016" t="s">
        <v>202</v>
      </c>
      <c r="B6016" t="s">
        <v>198</v>
      </c>
      <c r="C6016" t="s">
        <v>1177</v>
      </c>
      <c r="D6016" s="1">
        <v>1.7100000000000001E-2</v>
      </c>
      <c r="G6016">
        <v>197</v>
      </c>
      <c r="H6016">
        <v>80</v>
      </c>
      <c r="I6016">
        <v>1973</v>
      </c>
    </row>
    <row r="6017" spans="1:9" x14ac:dyDescent="0.25">
      <c r="A6017" t="s">
        <v>202</v>
      </c>
      <c r="B6017" t="s">
        <v>198</v>
      </c>
      <c r="C6017" t="s">
        <v>1179</v>
      </c>
      <c r="D6017" s="1">
        <v>4.2500000000000003E-2</v>
      </c>
      <c r="E6017" s="1">
        <v>2.0899999999999998E-2</v>
      </c>
      <c r="G6017">
        <v>197</v>
      </c>
      <c r="H6017">
        <v>80</v>
      </c>
      <c r="I6017">
        <v>1973</v>
      </c>
    </row>
    <row r="6018" spans="1:9" x14ac:dyDescent="0.25">
      <c r="A6018" t="s">
        <v>202</v>
      </c>
      <c r="B6018" t="s">
        <v>198</v>
      </c>
      <c r="C6018" t="s">
        <v>1166</v>
      </c>
      <c r="D6018" s="1">
        <v>3.4799999999999998E-2</v>
      </c>
      <c r="E6018" s="1">
        <v>0.2097</v>
      </c>
      <c r="F6018" s="1">
        <v>8.2799999999999999E-2</v>
      </c>
      <c r="G6018">
        <v>197</v>
      </c>
      <c r="H6018">
        <v>80</v>
      </c>
      <c r="I6018">
        <v>1973</v>
      </c>
    </row>
    <row r="6019" spans="1:9" x14ac:dyDescent="0.25">
      <c r="A6019" t="s">
        <v>202</v>
      </c>
      <c r="B6019" t="s">
        <v>198</v>
      </c>
      <c r="C6019" t="s">
        <v>1168</v>
      </c>
      <c r="D6019" s="1">
        <v>2.3400000000000001E-2</v>
      </c>
      <c r="E6019" s="1">
        <v>6.3399999999999998E-2</v>
      </c>
      <c r="F6019" s="1">
        <v>0.13569999999999999</v>
      </c>
      <c r="G6019">
        <v>197</v>
      </c>
      <c r="H6019">
        <v>80</v>
      </c>
      <c r="I6019">
        <v>1973</v>
      </c>
    </row>
    <row r="6020" spans="1:9" x14ac:dyDescent="0.25">
      <c r="A6020" t="s">
        <v>202</v>
      </c>
      <c r="B6020" t="s">
        <v>198</v>
      </c>
      <c r="C6020" t="s">
        <v>1169</v>
      </c>
      <c r="D6020" s="1">
        <v>1.9099999999999999E-2</v>
      </c>
      <c r="G6020">
        <v>197</v>
      </c>
      <c r="H6020">
        <v>80</v>
      </c>
      <c r="I6020">
        <v>1973</v>
      </c>
    </row>
    <row r="6021" spans="1:9" x14ac:dyDescent="0.25">
      <c r="A6021" t="s">
        <v>202</v>
      </c>
      <c r="B6021" t="s">
        <v>198</v>
      </c>
      <c r="C6021" t="s">
        <v>1180</v>
      </c>
      <c r="D6021" s="1">
        <v>1.7100000000000001E-2</v>
      </c>
      <c r="E6021" s="1">
        <v>1.4500000000000001E-2</v>
      </c>
      <c r="F6021" s="1">
        <v>9.4700000000000006E-2</v>
      </c>
      <c r="G6021">
        <v>197</v>
      </c>
      <c r="H6021">
        <v>80</v>
      </c>
      <c r="I6021">
        <v>1973</v>
      </c>
    </row>
    <row r="6022" spans="1:9" x14ac:dyDescent="0.25">
      <c r="A6022" t="s">
        <v>202</v>
      </c>
      <c r="B6022" t="s">
        <v>198</v>
      </c>
      <c r="C6022" t="s">
        <v>1172</v>
      </c>
      <c r="D6022" s="1">
        <v>0.57220000000000004</v>
      </c>
      <c r="E6022" s="1">
        <v>7.7899999999999997E-2</v>
      </c>
      <c r="F6022" s="1">
        <v>5.3400000000000003E-2</v>
      </c>
      <c r="G6022">
        <v>197</v>
      </c>
      <c r="H6022">
        <v>80</v>
      </c>
      <c r="I6022">
        <v>1973</v>
      </c>
    </row>
    <row r="6023" spans="1:9" x14ac:dyDescent="0.25">
      <c r="A6023" t="s">
        <v>202</v>
      </c>
      <c r="B6023" t="s">
        <v>198</v>
      </c>
      <c r="C6023" t="s">
        <v>1173</v>
      </c>
      <c r="D6023" s="1">
        <v>0.1305</v>
      </c>
      <c r="E6023" s="1">
        <v>0.1394</v>
      </c>
      <c r="F6023" s="1">
        <v>1.7399999999999999E-2</v>
      </c>
      <c r="G6023">
        <v>197</v>
      </c>
      <c r="H6023">
        <v>80</v>
      </c>
      <c r="I6023">
        <v>1973</v>
      </c>
    </row>
    <row r="6024" spans="1:9" x14ac:dyDescent="0.25">
      <c r="A6024" t="s">
        <v>202</v>
      </c>
      <c r="B6024" t="s">
        <v>198</v>
      </c>
      <c r="C6024" t="s">
        <v>215</v>
      </c>
      <c r="D6024" s="1">
        <v>4.3499999999999997E-2</v>
      </c>
      <c r="F6024" s="1">
        <v>4.5999999999999999E-3</v>
      </c>
      <c r="G6024">
        <v>197</v>
      </c>
      <c r="H6024">
        <v>80</v>
      </c>
      <c r="I6024">
        <v>1973</v>
      </c>
    </row>
    <row r="6025" spans="1:9" x14ac:dyDescent="0.25">
      <c r="A6025" t="s">
        <v>199</v>
      </c>
      <c r="B6025" t="s">
        <v>203</v>
      </c>
      <c r="C6025" t="s">
        <v>1174</v>
      </c>
      <c r="D6025" s="1">
        <v>1.6E-2</v>
      </c>
      <c r="E6025" s="1">
        <v>4.6300000000000001E-2</v>
      </c>
      <c r="F6025" s="1">
        <v>8.9899999999999994E-2</v>
      </c>
      <c r="G6025">
        <v>297</v>
      </c>
      <c r="H6025">
        <v>414</v>
      </c>
      <c r="I6025">
        <v>1973</v>
      </c>
    </row>
    <row r="6026" spans="1:9" x14ac:dyDescent="0.25">
      <c r="A6026" t="s">
        <v>199</v>
      </c>
      <c r="B6026" t="s">
        <v>203</v>
      </c>
      <c r="C6026" t="s">
        <v>220</v>
      </c>
      <c r="D6026" s="1">
        <v>2.3999999999999998E-3</v>
      </c>
      <c r="E6026" s="1">
        <v>1.7600000000000001E-2</v>
      </c>
      <c r="F6026" s="1">
        <v>4.3900000000000002E-2</v>
      </c>
      <c r="G6026">
        <v>297</v>
      </c>
      <c r="H6026">
        <v>414</v>
      </c>
      <c r="I6026">
        <v>1973</v>
      </c>
    </row>
    <row r="6027" spans="1:9" x14ac:dyDescent="0.25">
      <c r="A6027" t="s">
        <v>199</v>
      </c>
      <c r="B6027" t="s">
        <v>203</v>
      </c>
      <c r="C6027" t="s">
        <v>1175</v>
      </c>
      <c r="D6027" s="1">
        <v>1.7399999999999999E-2</v>
      </c>
      <c r="E6027" s="1">
        <v>0.17030000000000001</v>
      </c>
      <c r="F6027" s="1">
        <v>0.16700000000000001</v>
      </c>
      <c r="G6027">
        <v>297</v>
      </c>
      <c r="H6027">
        <v>414</v>
      </c>
      <c r="I6027">
        <v>1973</v>
      </c>
    </row>
    <row r="6028" spans="1:9" x14ac:dyDescent="0.25">
      <c r="A6028" t="s">
        <v>199</v>
      </c>
      <c r="B6028" t="s">
        <v>203</v>
      </c>
      <c r="C6028" t="s">
        <v>1176</v>
      </c>
      <c r="D6028" s="1">
        <v>1.17E-2</v>
      </c>
      <c r="E6028" s="1">
        <v>1.23E-2</v>
      </c>
      <c r="F6028" s="1">
        <v>6.4000000000000003E-3</v>
      </c>
      <c r="G6028">
        <v>297</v>
      </c>
      <c r="H6028">
        <v>414</v>
      </c>
      <c r="I6028">
        <v>1973</v>
      </c>
    </row>
    <row r="6029" spans="1:9" x14ac:dyDescent="0.25">
      <c r="A6029" t="s">
        <v>199</v>
      </c>
      <c r="B6029" t="s">
        <v>203</v>
      </c>
      <c r="C6029" t="s">
        <v>1163</v>
      </c>
      <c r="D6029" s="1">
        <v>7.6E-3</v>
      </c>
      <c r="E6029" s="1">
        <v>7.7999999999999996E-3</v>
      </c>
      <c r="F6029" s="1">
        <v>2.92E-2</v>
      </c>
      <c r="G6029">
        <v>297</v>
      </c>
      <c r="H6029">
        <v>414</v>
      </c>
      <c r="I6029">
        <v>1973</v>
      </c>
    </row>
    <row r="6030" spans="1:9" x14ac:dyDescent="0.25">
      <c r="A6030" t="s">
        <v>199</v>
      </c>
      <c r="B6030" t="s">
        <v>203</v>
      </c>
      <c r="C6030" t="s">
        <v>1164</v>
      </c>
      <c r="D6030" s="1">
        <v>2.7300000000000001E-2</v>
      </c>
      <c r="E6030" s="1">
        <v>4.99E-2</v>
      </c>
      <c r="F6030" s="1">
        <v>8.5900000000000004E-2</v>
      </c>
      <c r="G6030">
        <v>297</v>
      </c>
      <c r="H6030">
        <v>414</v>
      </c>
      <c r="I6030">
        <v>1973</v>
      </c>
    </row>
    <row r="6031" spans="1:9" x14ac:dyDescent="0.25">
      <c r="A6031" t="s">
        <v>199</v>
      </c>
      <c r="B6031" t="s">
        <v>203</v>
      </c>
      <c r="C6031" t="s">
        <v>1165</v>
      </c>
      <c r="D6031" s="1">
        <v>3.0599999999999999E-2</v>
      </c>
      <c r="E6031" s="1">
        <v>6.4299999999999996E-2</v>
      </c>
      <c r="F6031" s="1">
        <v>6.0100000000000001E-2</v>
      </c>
      <c r="G6031">
        <v>297</v>
      </c>
      <c r="H6031">
        <v>414</v>
      </c>
      <c r="I6031">
        <v>1973</v>
      </c>
    </row>
    <row r="6032" spans="1:9" x14ac:dyDescent="0.25">
      <c r="A6032" t="s">
        <v>199</v>
      </c>
      <c r="B6032" t="s">
        <v>203</v>
      </c>
      <c r="C6032" t="s">
        <v>1177</v>
      </c>
      <c r="D6032" s="1">
        <v>3.7000000000000002E-3</v>
      </c>
      <c r="E6032" s="1">
        <v>1.18E-2</v>
      </c>
      <c r="F6032" s="1">
        <v>6.1000000000000004E-3</v>
      </c>
      <c r="G6032">
        <v>297</v>
      </c>
      <c r="H6032">
        <v>414</v>
      </c>
      <c r="I6032">
        <v>1973</v>
      </c>
    </row>
    <row r="6033" spans="1:9" x14ac:dyDescent="0.25">
      <c r="A6033" t="s">
        <v>199</v>
      </c>
      <c r="B6033" t="s">
        <v>203</v>
      </c>
      <c r="C6033" t="s">
        <v>1178</v>
      </c>
      <c r="D6033" s="1">
        <v>3.2000000000000002E-3</v>
      </c>
      <c r="E6033" s="1">
        <v>3.0000000000000001E-3</v>
      </c>
      <c r="F6033" s="1">
        <v>1.7000000000000001E-2</v>
      </c>
      <c r="G6033">
        <v>297</v>
      </c>
      <c r="H6033">
        <v>414</v>
      </c>
      <c r="I6033">
        <v>1973</v>
      </c>
    </row>
    <row r="6034" spans="1:9" x14ac:dyDescent="0.25">
      <c r="A6034" t="s">
        <v>199</v>
      </c>
      <c r="B6034" t="s">
        <v>203</v>
      </c>
      <c r="C6034" t="s">
        <v>1179</v>
      </c>
      <c r="D6034" s="1">
        <v>1.6999999999999999E-3</v>
      </c>
      <c r="E6034" s="1">
        <v>1.9699999999999999E-2</v>
      </c>
      <c r="F6034" s="1">
        <v>3.5000000000000001E-3</v>
      </c>
      <c r="G6034">
        <v>297</v>
      </c>
      <c r="H6034">
        <v>414</v>
      </c>
      <c r="I6034">
        <v>1973</v>
      </c>
    </row>
    <row r="6035" spans="1:9" x14ac:dyDescent="0.25">
      <c r="A6035" t="s">
        <v>199</v>
      </c>
      <c r="B6035" t="s">
        <v>203</v>
      </c>
      <c r="C6035" t="s">
        <v>1166</v>
      </c>
      <c r="D6035" s="1">
        <v>6.7000000000000002E-3</v>
      </c>
      <c r="E6035" s="1">
        <v>4.8800000000000003E-2</v>
      </c>
      <c r="F6035" s="1">
        <v>0.2019</v>
      </c>
      <c r="G6035">
        <v>297</v>
      </c>
      <c r="H6035">
        <v>414</v>
      </c>
      <c r="I6035">
        <v>1973</v>
      </c>
    </row>
    <row r="6036" spans="1:9" x14ac:dyDescent="0.25">
      <c r="A6036" t="s">
        <v>199</v>
      </c>
      <c r="B6036" t="s">
        <v>203</v>
      </c>
      <c r="C6036" t="s">
        <v>1167</v>
      </c>
      <c r="D6036" s="1">
        <v>1.1999999999999999E-3</v>
      </c>
      <c r="E6036" s="1">
        <v>2.5999999999999999E-3</v>
      </c>
      <c r="F6036" s="1">
        <v>8.3000000000000001E-3</v>
      </c>
      <c r="G6036">
        <v>297</v>
      </c>
      <c r="H6036">
        <v>414</v>
      </c>
      <c r="I6036">
        <v>1973</v>
      </c>
    </row>
    <row r="6037" spans="1:9" x14ac:dyDescent="0.25">
      <c r="A6037" t="s">
        <v>199</v>
      </c>
      <c r="B6037" t="s">
        <v>203</v>
      </c>
      <c r="C6037" t="s">
        <v>1168</v>
      </c>
      <c r="D6037" s="1">
        <v>8.6999999999999994E-3</v>
      </c>
      <c r="E6037" s="1">
        <v>6.7299999999999999E-2</v>
      </c>
      <c r="F6037" s="1">
        <v>5.6599999999999998E-2</v>
      </c>
      <c r="G6037">
        <v>297</v>
      </c>
      <c r="H6037">
        <v>414</v>
      </c>
      <c r="I6037">
        <v>1973</v>
      </c>
    </row>
    <row r="6038" spans="1:9" x14ac:dyDescent="0.25">
      <c r="A6038" t="s">
        <v>199</v>
      </c>
      <c r="B6038" t="s">
        <v>203</v>
      </c>
      <c r="C6038" t="s">
        <v>1170</v>
      </c>
      <c r="D6038" s="1">
        <v>5.9999999999999995E-4</v>
      </c>
      <c r="E6038" s="1">
        <v>3.8E-3</v>
      </c>
      <c r="F6038" s="1">
        <v>3.3E-3</v>
      </c>
      <c r="G6038">
        <v>297</v>
      </c>
      <c r="H6038">
        <v>414</v>
      </c>
      <c r="I6038">
        <v>1973</v>
      </c>
    </row>
    <row r="6039" spans="1:9" x14ac:dyDescent="0.25">
      <c r="A6039" t="s">
        <v>199</v>
      </c>
      <c r="B6039" t="s">
        <v>203</v>
      </c>
      <c r="C6039" t="s">
        <v>1171</v>
      </c>
      <c r="D6039" s="1">
        <v>5.9999999999999995E-4</v>
      </c>
      <c r="E6039" s="1">
        <v>8.9999999999999998E-4</v>
      </c>
      <c r="F6039" s="1">
        <v>2.5999999999999999E-2</v>
      </c>
      <c r="G6039">
        <v>297</v>
      </c>
      <c r="H6039">
        <v>414</v>
      </c>
      <c r="I6039">
        <v>1973</v>
      </c>
    </row>
    <row r="6040" spans="1:9" x14ac:dyDescent="0.25">
      <c r="A6040" t="s">
        <v>199</v>
      </c>
      <c r="B6040" t="s">
        <v>203</v>
      </c>
      <c r="C6040" t="s">
        <v>1180</v>
      </c>
      <c r="D6040" s="1">
        <v>2.8E-3</v>
      </c>
      <c r="E6040" s="1">
        <v>2E-3</v>
      </c>
      <c r="F6040" s="1">
        <v>3.95E-2</v>
      </c>
      <c r="G6040">
        <v>297</v>
      </c>
      <c r="H6040">
        <v>414</v>
      </c>
      <c r="I6040">
        <v>1973</v>
      </c>
    </row>
    <row r="6041" spans="1:9" x14ac:dyDescent="0.25">
      <c r="A6041" t="s">
        <v>199</v>
      </c>
      <c r="B6041" t="s">
        <v>203</v>
      </c>
      <c r="C6041" t="s">
        <v>1172</v>
      </c>
      <c r="D6041" s="1">
        <v>0.20419999999999999</v>
      </c>
      <c r="E6041" s="1">
        <v>0.30890000000000001</v>
      </c>
      <c r="F6041" s="1">
        <v>3.0800000000000001E-2</v>
      </c>
      <c r="G6041">
        <v>297</v>
      </c>
      <c r="H6041">
        <v>414</v>
      </c>
      <c r="I6041">
        <v>1973</v>
      </c>
    </row>
    <row r="6042" spans="1:9" x14ac:dyDescent="0.25">
      <c r="A6042" t="s">
        <v>199</v>
      </c>
      <c r="B6042" t="s">
        <v>203</v>
      </c>
      <c r="C6042" t="s">
        <v>1173</v>
      </c>
      <c r="D6042" s="1">
        <v>0.65290000000000004</v>
      </c>
      <c r="E6042" s="1">
        <v>8.3099999999999993E-2</v>
      </c>
      <c r="F6042" s="1">
        <v>3.5400000000000001E-2</v>
      </c>
      <c r="G6042">
        <v>297</v>
      </c>
      <c r="H6042">
        <v>414</v>
      </c>
      <c r="I6042">
        <v>1973</v>
      </c>
    </row>
    <row r="6043" spans="1:9" x14ac:dyDescent="0.25">
      <c r="A6043" t="s">
        <v>199</v>
      </c>
      <c r="B6043" t="s">
        <v>203</v>
      </c>
      <c r="C6043" t="s">
        <v>215</v>
      </c>
      <c r="D6043" s="1">
        <v>6.9999999999999999E-4</v>
      </c>
      <c r="F6043" s="1">
        <v>1.8E-3</v>
      </c>
      <c r="G6043">
        <v>297</v>
      </c>
      <c r="H6043">
        <v>414</v>
      </c>
      <c r="I6043">
        <v>1973</v>
      </c>
    </row>
    <row r="6044" spans="1:9" x14ac:dyDescent="0.25">
      <c r="A6044" t="s">
        <v>200</v>
      </c>
      <c r="B6044" t="s">
        <v>203</v>
      </c>
      <c r="C6044" t="s">
        <v>1174</v>
      </c>
      <c r="D6044" s="1">
        <v>1E-4</v>
      </c>
      <c r="E6044" s="1">
        <v>5.5999999999999999E-3</v>
      </c>
      <c r="F6044" s="1">
        <v>2.2000000000000001E-3</v>
      </c>
      <c r="G6044">
        <v>454</v>
      </c>
      <c r="H6044">
        <v>315</v>
      </c>
      <c r="I6044">
        <v>1973</v>
      </c>
    </row>
    <row r="6045" spans="1:9" x14ac:dyDescent="0.25">
      <c r="A6045" t="s">
        <v>200</v>
      </c>
      <c r="B6045" t="s">
        <v>203</v>
      </c>
      <c r="C6045" t="s">
        <v>220</v>
      </c>
      <c r="D6045" s="1">
        <v>4.7999999999999996E-3</v>
      </c>
      <c r="E6045" s="1">
        <v>7.4300000000000005E-2</v>
      </c>
      <c r="F6045" s="1">
        <v>0.1837</v>
      </c>
      <c r="G6045">
        <v>454</v>
      </c>
      <c r="H6045">
        <v>315</v>
      </c>
      <c r="I6045">
        <v>1973</v>
      </c>
    </row>
    <row r="6046" spans="1:9" x14ac:dyDescent="0.25">
      <c r="A6046" t="s">
        <v>200</v>
      </c>
      <c r="B6046" t="s">
        <v>203</v>
      </c>
      <c r="C6046" t="s">
        <v>1175</v>
      </c>
      <c r="D6046" s="1">
        <v>2.8400000000000002E-2</v>
      </c>
      <c r="E6046" s="1">
        <v>4.02E-2</v>
      </c>
      <c r="F6046" s="1">
        <v>0.13919999999999999</v>
      </c>
      <c r="G6046">
        <v>454</v>
      </c>
      <c r="H6046">
        <v>315</v>
      </c>
      <c r="I6046">
        <v>1973</v>
      </c>
    </row>
    <row r="6047" spans="1:9" x14ac:dyDescent="0.25">
      <c r="A6047" t="s">
        <v>200</v>
      </c>
      <c r="B6047" t="s">
        <v>203</v>
      </c>
      <c r="C6047" t="s">
        <v>1176</v>
      </c>
      <c r="D6047" s="1">
        <v>8.9999999999999998E-4</v>
      </c>
      <c r="E6047" s="1">
        <v>7.9000000000000008E-3</v>
      </c>
      <c r="F6047" s="1">
        <v>5.2200000000000003E-2</v>
      </c>
      <c r="G6047">
        <v>454</v>
      </c>
      <c r="H6047">
        <v>315</v>
      </c>
      <c r="I6047">
        <v>1973</v>
      </c>
    </row>
    <row r="6048" spans="1:9" x14ac:dyDescent="0.25">
      <c r="A6048" t="s">
        <v>200</v>
      </c>
      <c r="B6048" t="s">
        <v>203</v>
      </c>
      <c r="C6048" t="s">
        <v>1163</v>
      </c>
      <c r="D6048" s="1">
        <v>1.84E-2</v>
      </c>
      <c r="E6048" s="1">
        <v>4.4000000000000003E-3</v>
      </c>
      <c r="F6048" s="1">
        <v>2.0799999999999999E-2</v>
      </c>
      <c r="G6048">
        <v>454</v>
      </c>
      <c r="H6048">
        <v>315</v>
      </c>
      <c r="I6048">
        <v>1973</v>
      </c>
    </row>
    <row r="6049" spans="1:9" x14ac:dyDescent="0.25">
      <c r="A6049" t="s">
        <v>200</v>
      </c>
      <c r="B6049" t="s">
        <v>203</v>
      </c>
      <c r="C6049" t="s">
        <v>1181</v>
      </c>
      <c r="D6049" s="1">
        <v>8.9999999999999998E-4</v>
      </c>
      <c r="E6049" s="1">
        <v>1.1000000000000001E-3</v>
      </c>
      <c r="F6049" s="1">
        <v>4.9599999999999998E-2</v>
      </c>
      <c r="G6049">
        <v>454</v>
      </c>
      <c r="H6049">
        <v>315</v>
      </c>
      <c r="I6049">
        <v>1973</v>
      </c>
    </row>
    <row r="6050" spans="1:9" x14ac:dyDescent="0.25">
      <c r="A6050" t="s">
        <v>200</v>
      </c>
      <c r="B6050" t="s">
        <v>203</v>
      </c>
      <c r="C6050" t="s">
        <v>1164</v>
      </c>
      <c r="D6050" s="1">
        <v>2.9600000000000001E-2</v>
      </c>
      <c r="E6050" s="1">
        <v>9.9400000000000002E-2</v>
      </c>
      <c r="F6050" s="1">
        <v>0.13880000000000001</v>
      </c>
      <c r="G6050">
        <v>454</v>
      </c>
      <c r="H6050">
        <v>315</v>
      </c>
      <c r="I6050">
        <v>1973</v>
      </c>
    </row>
    <row r="6051" spans="1:9" x14ac:dyDescent="0.25">
      <c r="A6051" t="s">
        <v>200</v>
      </c>
      <c r="B6051" t="s">
        <v>203</v>
      </c>
      <c r="C6051" t="s">
        <v>1182</v>
      </c>
      <c r="D6051" s="1">
        <v>6.9999999999999999E-4</v>
      </c>
      <c r="F6051" s="1">
        <v>2.7000000000000001E-3</v>
      </c>
      <c r="G6051">
        <v>454</v>
      </c>
      <c r="H6051">
        <v>315</v>
      </c>
      <c r="I6051">
        <v>1973</v>
      </c>
    </row>
    <row r="6052" spans="1:9" x14ac:dyDescent="0.25">
      <c r="A6052" t="s">
        <v>200</v>
      </c>
      <c r="B6052" t="s">
        <v>203</v>
      </c>
      <c r="C6052" t="s">
        <v>1165</v>
      </c>
      <c r="D6052" s="1">
        <v>7.2400000000000006E-2</v>
      </c>
      <c r="E6052" s="1">
        <v>0.2132</v>
      </c>
      <c r="F6052" s="1">
        <v>0.18129999999999999</v>
      </c>
      <c r="G6052">
        <v>454</v>
      </c>
      <c r="H6052">
        <v>315</v>
      </c>
      <c r="I6052">
        <v>1973</v>
      </c>
    </row>
    <row r="6053" spans="1:9" x14ac:dyDescent="0.25">
      <c r="A6053" t="s">
        <v>200</v>
      </c>
      <c r="B6053" t="s">
        <v>203</v>
      </c>
      <c r="C6053" t="s">
        <v>1179</v>
      </c>
      <c r="D6053" s="1">
        <v>1.8E-3</v>
      </c>
      <c r="E6053" s="1">
        <v>5.4999999999999997E-3</v>
      </c>
      <c r="F6053" s="1">
        <v>1.6500000000000001E-2</v>
      </c>
      <c r="G6053">
        <v>454</v>
      </c>
      <c r="H6053">
        <v>315</v>
      </c>
      <c r="I6053">
        <v>1973</v>
      </c>
    </row>
    <row r="6054" spans="1:9" x14ac:dyDescent="0.25">
      <c r="A6054" t="s">
        <v>200</v>
      </c>
      <c r="B6054" t="s">
        <v>203</v>
      </c>
      <c r="C6054" t="s">
        <v>1166</v>
      </c>
      <c r="D6054" s="1">
        <v>6.3E-3</v>
      </c>
      <c r="E6054" s="1">
        <v>5.7700000000000001E-2</v>
      </c>
      <c r="F6054" s="1">
        <v>7.1499999999999994E-2</v>
      </c>
      <c r="G6054">
        <v>454</v>
      </c>
      <c r="H6054">
        <v>315</v>
      </c>
      <c r="I6054">
        <v>1973</v>
      </c>
    </row>
    <row r="6055" spans="1:9" x14ac:dyDescent="0.25">
      <c r="A6055" t="s">
        <v>200</v>
      </c>
      <c r="B6055" t="s">
        <v>203</v>
      </c>
      <c r="C6055" t="s">
        <v>1168</v>
      </c>
      <c r="D6055" s="1">
        <v>2.58E-2</v>
      </c>
      <c r="E6055" s="1">
        <v>8.2199999999999995E-2</v>
      </c>
      <c r="F6055" s="1">
        <v>2.46E-2</v>
      </c>
      <c r="G6055">
        <v>454</v>
      </c>
      <c r="H6055">
        <v>315</v>
      </c>
      <c r="I6055">
        <v>1973</v>
      </c>
    </row>
    <row r="6056" spans="1:9" x14ac:dyDescent="0.25">
      <c r="A6056" t="s">
        <v>200</v>
      </c>
      <c r="B6056" t="s">
        <v>203</v>
      </c>
      <c r="C6056" t="s">
        <v>1171</v>
      </c>
      <c r="D6056" s="1">
        <v>2.0000000000000001E-4</v>
      </c>
      <c r="G6056">
        <v>454</v>
      </c>
      <c r="H6056">
        <v>315</v>
      </c>
      <c r="I6056">
        <v>1973</v>
      </c>
    </row>
    <row r="6057" spans="1:9" x14ac:dyDescent="0.25">
      <c r="A6057" t="s">
        <v>200</v>
      </c>
      <c r="B6057" t="s">
        <v>203</v>
      </c>
      <c r="C6057" t="s">
        <v>1180</v>
      </c>
      <c r="D6057" s="1">
        <v>4.0000000000000002E-4</v>
      </c>
      <c r="E6057" s="1">
        <v>2.8E-3</v>
      </c>
      <c r="F6057" s="1">
        <v>1.8800000000000001E-2</v>
      </c>
      <c r="G6057">
        <v>454</v>
      </c>
      <c r="H6057">
        <v>315</v>
      </c>
      <c r="I6057">
        <v>1973</v>
      </c>
    </row>
    <row r="6058" spans="1:9" x14ac:dyDescent="0.25">
      <c r="A6058" t="s">
        <v>200</v>
      </c>
      <c r="B6058" t="s">
        <v>203</v>
      </c>
      <c r="C6058" t="s">
        <v>1172</v>
      </c>
      <c r="D6058" s="1">
        <v>0.28470000000000001</v>
      </c>
      <c r="E6058" s="1">
        <v>0.22839999999999999</v>
      </c>
      <c r="F6058" s="1">
        <v>2.4299999999999999E-2</v>
      </c>
      <c r="G6058">
        <v>454</v>
      </c>
      <c r="H6058">
        <v>315</v>
      </c>
      <c r="I6058">
        <v>1973</v>
      </c>
    </row>
    <row r="6059" spans="1:9" x14ac:dyDescent="0.25">
      <c r="A6059" t="s">
        <v>200</v>
      </c>
      <c r="B6059" t="s">
        <v>203</v>
      </c>
      <c r="C6059" t="s">
        <v>1173</v>
      </c>
      <c r="D6059" s="1">
        <v>0.52429999999999999</v>
      </c>
      <c r="E6059" s="1">
        <v>0.13389999999999999</v>
      </c>
      <c r="F6059" s="1">
        <v>2.18E-2</v>
      </c>
      <c r="G6059">
        <v>454</v>
      </c>
      <c r="H6059">
        <v>315</v>
      </c>
      <c r="I6059">
        <v>1973</v>
      </c>
    </row>
    <row r="6060" spans="1:9" x14ac:dyDescent="0.25">
      <c r="A6060" t="s">
        <v>200</v>
      </c>
      <c r="B6060" t="s">
        <v>203</v>
      </c>
      <c r="C6060" t="s">
        <v>235</v>
      </c>
      <c r="D6060" s="1">
        <v>2.0000000000000001E-4</v>
      </c>
      <c r="E6060" s="1">
        <v>6.0000000000000001E-3</v>
      </c>
      <c r="F6060" s="1">
        <v>3.0999999999999999E-3</v>
      </c>
      <c r="G6060">
        <v>454</v>
      </c>
      <c r="H6060">
        <v>315</v>
      </c>
      <c r="I6060">
        <v>1973</v>
      </c>
    </row>
    <row r="6061" spans="1:9" x14ac:dyDescent="0.25">
      <c r="A6061" t="s">
        <v>201</v>
      </c>
      <c r="B6061" t="s">
        <v>203</v>
      </c>
      <c r="C6061" t="s">
        <v>1174</v>
      </c>
      <c r="D6061" s="1">
        <v>1.21E-2</v>
      </c>
      <c r="E6061" s="1">
        <v>2.8E-3</v>
      </c>
      <c r="F6061" s="1">
        <v>3.7499999999999999E-2</v>
      </c>
      <c r="G6061">
        <v>94</v>
      </c>
      <c r="H6061">
        <v>253</v>
      </c>
      <c r="I6061">
        <v>1973</v>
      </c>
    </row>
    <row r="6062" spans="1:9" x14ac:dyDescent="0.25">
      <c r="A6062" t="s">
        <v>201</v>
      </c>
      <c r="B6062" t="s">
        <v>203</v>
      </c>
      <c r="C6062" t="s">
        <v>220</v>
      </c>
      <c r="D6062" s="1">
        <v>2.7E-2</v>
      </c>
      <c r="E6062" s="1">
        <v>8.8000000000000005E-3</v>
      </c>
      <c r="F6062" s="1">
        <v>7.0300000000000001E-2</v>
      </c>
      <c r="G6062">
        <v>94</v>
      </c>
      <c r="H6062">
        <v>253</v>
      </c>
      <c r="I6062">
        <v>1973</v>
      </c>
    </row>
    <row r="6063" spans="1:9" x14ac:dyDescent="0.25">
      <c r="A6063" t="s">
        <v>201</v>
      </c>
      <c r="B6063" t="s">
        <v>203</v>
      </c>
      <c r="C6063" t="s">
        <v>1175</v>
      </c>
      <c r="D6063" s="1">
        <v>1.77E-2</v>
      </c>
      <c r="E6063" s="1">
        <v>6.5500000000000003E-2</v>
      </c>
      <c r="F6063" s="1">
        <v>0.15690000000000001</v>
      </c>
      <c r="G6063">
        <v>94</v>
      </c>
      <c r="H6063">
        <v>253</v>
      </c>
      <c r="I6063">
        <v>1973</v>
      </c>
    </row>
    <row r="6064" spans="1:9" x14ac:dyDescent="0.25">
      <c r="A6064" t="s">
        <v>201</v>
      </c>
      <c r="B6064" t="s">
        <v>203</v>
      </c>
      <c r="C6064" t="s">
        <v>1176</v>
      </c>
      <c r="D6064" s="1">
        <v>2.3699999999999999E-2</v>
      </c>
      <c r="E6064" s="1">
        <v>5.1799999999999999E-2</v>
      </c>
      <c r="F6064" s="1">
        <v>2.06E-2</v>
      </c>
      <c r="G6064">
        <v>94</v>
      </c>
      <c r="H6064">
        <v>253</v>
      </c>
      <c r="I6064">
        <v>1973</v>
      </c>
    </row>
    <row r="6065" spans="1:9" x14ac:dyDescent="0.25">
      <c r="A6065" t="s">
        <v>201</v>
      </c>
      <c r="B6065" t="s">
        <v>203</v>
      </c>
      <c r="C6065" t="s">
        <v>1163</v>
      </c>
      <c r="D6065" s="1">
        <v>1.14E-2</v>
      </c>
      <c r="E6065" s="1">
        <v>1.17E-2</v>
      </c>
      <c r="F6065" s="1">
        <v>7.4999999999999997E-3</v>
      </c>
      <c r="G6065">
        <v>94</v>
      </c>
      <c r="H6065">
        <v>253</v>
      </c>
      <c r="I6065">
        <v>1973</v>
      </c>
    </row>
    <row r="6066" spans="1:9" x14ac:dyDescent="0.25">
      <c r="A6066" t="s">
        <v>201</v>
      </c>
      <c r="B6066" t="s">
        <v>203</v>
      </c>
      <c r="C6066" t="s">
        <v>1181</v>
      </c>
      <c r="D6066" s="1">
        <v>2.9999999999999997E-4</v>
      </c>
      <c r="E6066" s="1">
        <v>2.8E-3</v>
      </c>
      <c r="F6066" s="1">
        <v>5.1999999999999998E-3</v>
      </c>
      <c r="G6066">
        <v>94</v>
      </c>
      <c r="H6066">
        <v>253</v>
      </c>
      <c r="I6066">
        <v>1973</v>
      </c>
    </row>
    <row r="6067" spans="1:9" x14ac:dyDescent="0.25">
      <c r="A6067" t="s">
        <v>201</v>
      </c>
      <c r="B6067" t="s">
        <v>203</v>
      </c>
      <c r="C6067" t="s">
        <v>1164</v>
      </c>
      <c r="D6067" s="1">
        <v>9.11E-2</v>
      </c>
      <c r="E6067" s="1">
        <v>4.3299999999999998E-2</v>
      </c>
      <c r="F6067" s="1">
        <v>8.5400000000000004E-2</v>
      </c>
      <c r="G6067">
        <v>94</v>
      </c>
      <c r="H6067">
        <v>253</v>
      </c>
      <c r="I6067">
        <v>1973</v>
      </c>
    </row>
    <row r="6068" spans="1:9" x14ac:dyDescent="0.25">
      <c r="A6068" t="s">
        <v>201</v>
      </c>
      <c r="B6068" t="s">
        <v>203</v>
      </c>
      <c r="C6068" t="s">
        <v>1165</v>
      </c>
      <c r="D6068" s="1">
        <v>6.4999999999999997E-3</v>
      </c>
      <c r="E6068" s="1">
        <v>3.1800000000000002E-2</v>
      </c>
      <c r="F6068" s="1">
        <v>4.7100000000000003E-2</v>
      </c>
      <c r="G6068">
        <v>94</v>
      </c>
      <c r="H6068">
        <v>253</v>
      </c>
      <c r="I6068">
        <v>1973</v>
      </c>
    </row>
    <row r="6069" spans="1:9" x14ac:dyDescent="0.25">
      <c r="A6069" t="s">
        <v>201</v>
      </c>
      <c r="B6069" t="s">
        <v>203</v>
      </c>
      <c r="C6069" t="s">
        <v>1177</v>
      </c>
      <c r="D6069" s="1">
        <v>4.9799999999999997E-2</v>
      </c>
      <c r="E6069" s="1">
        <v>0.17949999999999999</v>
      </c>
      <c r="F6069" s="1">
        <v>0.1239</v>
      </c>
      <c r="G6069">
        <v>94</v>
      </c>
      <c r="H6069">
        <v>253</v>
      </c>
      <c r="I6069">
        <v>1973</v>
      </c>
    </row>
    <row r="6070" spans="1:9" x14ac:dyDescent="0.25">
      <c r="A6070" t="s">
        <v>201</v>
      </c>
      <c r="B6070" t="s">
        <v>203</v>
      </c>
      <c r="C6070" t="s">
        <v>1178</v>
      </c>
      <c r="D6070" s="1">
        <v>1.06E-2</v>
      </c>
      <c r="E6070" s="1">
        <v>1.6000000000000001E-3</v>
      </c>
      <c r="F6070" s="1">
        <v>2.9700000000000001E-2</v>
      </c>
      <c r="G6070">
        <v>94</v>
      </c>
      <c r="H6070">
        <v>253</v>
      </c>
      <c r="I6070">
        <v>1973</v>
      </c>
    </row>
    <row r="6071" spans="1:9" x14ac:dyDescent="0.25">
      <c r="A6071" t="s">
        <v>201</v>
      </c>
      <c r="B6071" t="s">
        <v>203</v>
      </c>
      <c r="C6071" t="s">
        <v>1179</v>
      </c>
      <c r="D6071" s="1">
        <v>3.3599999999999998E-2</v>
      </c>
      <c r="E6071" s="1">
        <v>5.7599999999999998E-2</v>
      </c>
      <c r="F6071" s="1">
        <v>1.1000000000000001E-3</v>
      </c>
      <c r="G6071">
        <v>94</v>
      </c>
      <c r="H6071">
        <v>253</v>
      </c>
      <c r="I6071">
        <v>1973</v>
      </c>
    </row>
    <row r="6072" spans="1:9" x14ac:dyDescent="0.25">
      <c r="A6072" t="s">
        <v>201</v>
      </c>
      <c r="B6072" t="s">
        <v>203</v>
      </c>
      <c r="C6072" t="s">
        <v>1166</v>
      </c>
      <c r="D6072" s="1">
        <v>4.5999999999999999E-3</v>
      </c>
      <c r="E6072" s="1">
        <v>8.4900000000000003E-2</v>
      </c>
      <c r="F6072" s="1">
        <v>3.2000000000000001E-2</v>
      </c>
      <c r="G6072">
        <v>94</v>
      </c>
      <c r="H6072">
        <v>253</v>
      </c>
      <c r="I6072">
        <v>1973</v>
      </c>
    </row>
    <row r="6073" spans="1:9" x14ac:dyDescent="0.25">
      <c r="A6073" t="s">
        <v>201</v>
      </c>
      <c r="B6073" t="s">
        <v>203</v>
      </c>
      <c r="C6073" t="s">
        <v>1168</v>
      </c>
      <c r="D6073" s="1">
        <v>1.4500000000000001E-2</v>
      </c>
      <c r="E6073" s="1">
        <v>4.53E-2</v>
      </c>
      <c r="F6073" s="1">
        <v>0.12180000000000001</v>
      </c>
      <c r="G6073">
        <v>94</v>
      </c>
      <c r="H6073">
        <v>253</v>
      </c>
      <c r="I6073">
        <v>1973</v>
      </c>
    </row>
    <row r="6074" spans="1:9" x14ac:dyDescent="0.25">
      <c r="A6074" t="s">
        <v>201</v>
      </c>
      <c r="B6074" t="s">
        <v>203</v>
      </c>
      <c r="C6074" t="s">
        <v>1169</v>
      </c>
      <c r="D6074" s="1">
        <v>2.9999999999999997E-4</v>
      </c>
      <c r="E6074" s="1">
        <v>5.4000000000000003E-3</v>
      </c>
      <c r="G6074">
        <v>94</v>
      </c>
      <c r="H6074">
        <v>253</v>
      </c>
      <c r="I6074">
        <v>1973</v>
      </c>
    </row>
    <row r="6075" spans="1:9" x14ac:dyDescent="0.25">
      <c r="A6075" t="s">
        <v>201</v>
      </c>
      <c r="B6075" t="s">
        <v>203</v>
      </c>
      <c r="C6075" t="s">
        <v>1170</v>
      </c>
      <c r="D6075" s="1">
        <v>1.6999999999999999E-3</v>
      </c>
      <c r="E6075" s="1">
        <v>2.8E-3</v>
      </c>
      <c r="F6075" s="1">
        <v>6.7999999999999996E-3</v>
      </c>
      <c r="G6075">
        <v>94</v>
      </c>
      <c r="H6075">
        <v>253</v>
      </c>
      <c r="I6075">
        <v>1973</v>
      </c>
    </row>
    <row r="6076" spans="1:9" x14ac:dyDescent="0.25">
      <c r="A6076" t="s">
        <v>201</v>
      </c>
      <c r="B6076" t="s">
        <v>203</v>
      </c>
      <c r="C6076" t="s">
        <v>1171</v>
      </c>
      <c r="D6076" s="1">
        <v>5.9999999999999995E-4</v>
      </c>
      <c r="E6076" s="1">
        <v>2.3999999999999998E-3</v>
      </c>
      <c r="F6076" s="1">
        <v>5.0000000000000001E-4</v>
      </c>
      <c r="G6076">
        <v>94</v>
      </c>
      <c r="H6076">
        <v>253</v>
      </c>
      <c r="I6076">
        <v>1973</v>
      </c>
    </row>
    <row r="6077" spans="1:9" x14ac:dyDescent="0.25">
      <c r="A6077" t="s">
        <v>201</v>
      </c>
      <c r="B6077" t="s">
        <v>203</v>
      </c>
      <c r="C6077" t="s">
        <v>1180</v>
      </c>
      <c r="D6077" s="1">
        <v>2.0999999999999999E-3</v>
      </c>
      <c r="E6077" s="1">
        <v>2.8E-3</v>
      </c>
      <c r="F6077" s="1">
        <v>3.8600000000000002E-2</v>
      </c>
      <c r="G6077">
        <v>94</v>
      </c>
      <c r="H6077">
        <v>253</v>
      </c>
      <c r="I6077">
        <v>1973</v>
      </c>
    </row>
    <row r="6078" spans="1:9" x14ac:dyDescent="0.25">
      <c r="A6078" t="s">
        <v>201</v>
      </c>
      <c r="B6078" t="s">
        <v>203</v>
      </c>
      <c r="C6078" t="s">
        <v>1172</v>
      </c>
      <c r="D6078" s="1">
        <v>0.30859999999999999</v>
      </c>
      <c r="E6078" s="1">
        <v>0.27900000000000003</v>
      </c>
      <c r="F6078" s="1">
        <v>0.114</v>
      </c>
      <c r="G6078">
        <v>94</v>
      </c>
      <c r="H6078">
        <v>253</v>
      </c>
      <c r="I6078">
        <v>1973</v>
      </c>
    </row>
    <row r="6079" spans="1:9" x14ac:dyDescent="0.25">
      <c r="A6079" t="s">
        <v>201</v>
      </c>
      <c r="B6079" t="s">
        <v>203</v>
      </c>
      <c r="C6079" t="s">
        <v>1173</v>
      </c>
      <c r="D6079" s="1">
        <v>0.38090000000000002</v>
      </c>
      <c r="E6079" s="1">
        <v>9.5699999999999993E-2</v>
      </c>
      <c r="F6079" s="1">
        <v>3.8199999999999998E-2</v>
      </c>
      <c r="G6079">
        <v>94</v>
      </c>
      <c r="H6079">
        <v>253</v>
      </c>
      <c r="I6079">
        <v>1973</v>
      </c>
    </row>
    <row r="6080" spans="1:9" x14ac:dyDescent="0.25">
      <c r="A6080" t="s">
        <v>201</v>
      </c>
      <c r="B6080" t="s">
        <v>203</v>
      </c>
      <c r="C6080" t="s">
        <v>235</v>
      </c>
      <c r="D6080" s="1">
        <v>1.6999999999999999E-3</v>
      </c>
      <c r="E6080" s="1">
        <v>1.6000000000000001E-3</v>
      </c>
      <c r="F6080" s="1">
        <v>2.3699999999999999E-2</v>
      </c>
      <c r="G6080">
        <v>94</v>
      </c>
      <c r="H6080">
        <v>253</v>
      </c>
      <c r="I6080">
        <v>1973</v>
      </c>
    </row>
    <row r="6081" spans="1:9" x14ac:dyDescent="0.25">
      <c r="A6081" t="s">
        <v>201</v>
      </c>
      <c r="B6081" t="s">
        <v>203</v>
      </c>
      <c r="C6081" t="s">
        <v>1183</v>
      </c>
      <c r="D6081" s="1">
        <v>1.4E-3</v>
      </c>
      <c r="E6081" s="1">
        <v>2.0400000000000001E-2</v>
      </c>
      <c r="F6081" s="1">
        <v>5.1999999999999998E-3</v>
      </c>
      <c r="G6081">
        <v>94</v>
      </c>
      <c r="H6081">
        <v>253</v>
      </c>
      <c r="I6081">
        <v>1973</v>
      </c>
    </row>
    <row r="6082" spans="1:9" x14ac:dyDescent="0.25">
      <c r="A6082" t="s">
        <v>202</v>
      </c>
      <c r="B6082" t="s">
        <v>203</v>
      </c>
      <c r="C6082" t="s">
        <v>220</v>
      </c>
      <c r="D6082" s="1">
        <v>4.8000000000000001E-2</v>
      </c>
      <c r="E6082" s="1">
        <v>0.2026</v>
      </c>
      <c r="F6082" s="1">
        <v>6.9599999999999995E-2</v>
      </c>
      <c r="G6082">
        <v>72</v>
      </c>
      <c r="H6082">
        <v>50</v>
      </c>
      <c r="I6082">
        <v>1973</v>
      </c>
    </row>
    <row r="6083" spans="1:9" x14ac:dyDescent="0.25">
      <c r="A6083" t="s">
        <v>202</v>
      </c>
      <c r="B6083" t="s">
        <v>203</v>
      </c>
      <c r="C6083" t="s">
        <v>1175</v>
      </c>
      <c r="D6083" s="1">
        <v>2.1499999999999998E-2</v>
      </c>
      <c r="E6083" s="1">
        <v>5.3800000000000001E-2</v>
      </c>
      <c r="F6083" s="1">
        <v>0.17949999999999999</v>
      </c>
      <c r="G6083">
        <v>72</v>
      </c>
      <c r="H6083">
        <v>50</v>
      </c>
      <c r="I6083">
        <v>1973</v>
      </c>
    </row>
    <row r="6084" spans="1:9" x14ac:dyDescent="0.25">
      <c r="A6084" t="s">
        <v>202</v>
      </c>
      <c r="B6084" t="s">
        <v>203</v>
      </c>
      <c r="C6084" t="s">
        <v>1164</v>
      </c>
      <c r="D6084" s="1">
        <v>6.1600000000000002E-2</v>
      </c>
      <c r="E6084" s="1">
        <v>0.1152</v>
      </c>
      <c r="F6084" s="1">
        <v>2.47E-2</v>
      </c>
      <c r="G6084">
        <v>72</v>
      </c>
      <c r="H6084">
        <v>50</v>
      </c>
      <c r="I6084">
        <v>1973</v>
      </c>
    </row>
    <row r="6085" spans="1:9" x14ac:dyDescent="0.25">
      <c r="A6085" t="s">
        <v>202</v>
      </c>
      <c r="B6085" t="s">
        <v>203</v>
      </c>
      <c r="C6085" t="s">
        <v>1165</v>
      </c>
      <c r="D6085" s="1">
        <v>6.7999999999999996E-3</v>
      </c>
      <c r="E6085" s="1">
        <v>3.6400000000000002E-2</v>
      </c>
      <c r="G6085">
        <v>72</v>
      </c>
      <c r="H6085">
        <v>50</v>
      </c>
      <c r="I6085">
        <v>1973</v>
      </c>
    </row>
    <row r="6086" spans="1:9" x14ac:dyDescent="0.25">
      <c r="A6086" t="s">
        <v>202</v>
      </c>
      <c r="B6086" t="s">
        <v>203</v>
      </c>
      <c r="C6086" t="s">
        <v>1179</v>
      </c>
      <c r="D6086" s="1">
        <v>1.0800000000000001E-2</v>
      </c>
      <c r="E6086" s="1">
        <v>4.4200000000000003E-2</v>
      </c>
      <c r="G6086">
        <v>72</v>
      </c>
      <c r="H6086">
        <v>50</v>
      </c>
      <c r="I6086">
        <v>1973</v>
      </c>
    </row>
    <row r="6087" spans="1:9" x14ac:dyDescent="0.25">
      <c r="A6087" t="s">
        <v>202</v>
      </c>
      <c r="B6087" t="s">
        <v>203</v>
      </c>
      <c r="C6087" t="s">
        <v>1166</v>
      </c>
      <c r="D6087" s="1">
        <v>3.8399999999999997E-2</v>
      </c>
      <c r="E6087" s="1">
        <v>0.1018</v>
      </c>
      <c r="F6087" s="1">
        <v>2.47E-2</v>
      </c>
      <c r="G6087">
        <v>72</v>
      </c>
      <c r="H6087">
        <v>50</v>
      </c>
      <c r="I6087">
        <v>1973</v>
      </c>
    </row>
    <row r="6088" spans="1:9" x14ac:dyDescent="0.25">
      <c r="A6088" t="s">
        <v>202</v>
      </c>
      <c r="B6088" t="s">
        <v>203</v>
      </c>
      <c r="C6088" t="s">
        <v>1168</v>
      </c>
      <c r="D6088" s="1">
        <v>0.13400000000000001</v>
      </c>
      <c r="E6088" s="1">
        <v>0.1116</v>
      </c>
      <c r="F6088" s="1">
        <v>0.18360000000000001</v>
      </c>
      <c r="G6088">
        <v>72</v>
      </c>
      <c r="H6088">
        <v>50</v>
      </c>
      <c r="I6088">
        <v>1973</v>
      </c>
    </row>
    <row r="6089" spans="1:9" x14ac:dyDescent="0.25">
      <c r="A6089" t="s">
        <v>202</v>
      </c>
      <c r="B6089" t="s">
        <v>203</v>
      </c>
      <c r="C6089" t="s">
        <v>1172</v>
      </c>
      <c r="D6089" s="1">
        <v>0.24010000000000001</v>
      </c>
      <c r="E6089" s="1">
        <v>0.1363</v>
      </c>
      <c r="F6089" s="1">
        <v>1.8599999999999998E-2</v>
      </c>
      <c r="G6089">
        <v>72</v>
      </c>
      <c r="H6089">
        <v>50</v>
      </c>
      <c r="I6089">
        <v>1973</v>
      </c>
    </row>
    <row r="6090" spans="1:9" x14ac:dyDescent="0.25">
      <c r="A6090" t="s">
        <v>202</v>
      </c>
      <c r="B6090" t="s">
        <v>203</v>
      </c>
      <c r="C6090" t="s">
        <v>1173</v>
      </c>
      <c r="D6090" s="1">
        <v>0.43880000000000002</v>
      </c>
      <c r="G6090">
        <v>72</v>
      </c>
      <c r="H6090">
        <v>50</v>
      </c>
      <c r="I6090">
        <v>1973</v>
      </c>
    </row>
    <row r="6091" spans="1:9" x14ac:dyDescent="0.25">
      <c r="A6091" t="s">
        <v>204</v>
      </c>
      <c r="B6091" t="s">
        <v>204</v>
      </c>
      <c r="C6091" t="s">
        <v>1174</v>
      </c>
      <c r="D6091" s="1">
        <v>4.5999999999999999E-3</v>
      </c>
      <c r="E6091" s="1">
        <v>1.5800000000000002E-2</v>
      </c>
      <c r="F6091" s="1">
        <v>2.5700000000000001E-2</v>
      </c>
      <c r="G6091">
        <v>1973</v>
      </c>
      <c r="H6091">
        <v>1973</v>
      </c>
      <c r="I6091">
        <v>1973</v>
      </c>
    </row>
    <row r="6092" spans="1:9" x14ac:dyDescent="0.25">
      <c r="A6092" t="s">
        <v>204</v>
      </c>
      <c r="B6092" t="s">
        <v>204</v>
      </c>
      <c r="C6092" t="s">
        <v>220</v>
      </c>
      <c r="D6092" s="1">
        <v>7.0000000000000001E-3</v>
      </c>
      <c r="E6092" s="1">
        <v>4.2700000000000002E-2</v>
      </c>
      <c r="F6092" s="1">
        <v>7.0499999999999993E-2</v>
      </c>
      <c r="G6092">
        <v>1973</v>
      </c>
      <c r="H6092">
        <v>1973</v>
      </c>
      <c r="I6092">
        <v>1973</v>
      </c>
    </row>
    <row r="6093" spans="1:9" x14ac:dyDescent="0.25">
      <c r="A6093" t="s">
        <v>204</v>
      </c>
      <c r="B6093" t="s">
        <v>204</v>
      </c>
      <c r="C6093" t="s">
        <v>1175</v>
      </c>
      <c r="D6093" s="1">
        <v>1.4E-2</v>
      </c>
      <c r="E6093" s="1">
        <v>7.5800000000000006E-2</v>
      </c>
      <c r="F6093" s="1">
        <v>0.1046</v>
      </c>
      <c r="G6093">
        <v>1973</v>
      </c>
      <c r="H6093">
        <v>1973</v>
      </c>
      <c r="I6093">
        <v>1973</v>
      </c>
    </row>
    <row r="6094" spans="1:9" x14ac:dyDescent="0.25">
      <c r="A6094" t="s">
        <v>204</v>
      </c>
      <c r="B6094" t="s">
        <v>204</v>
      </c>
      <c r="C6094" t="s">
        <v>1176</v>
      </c>
      <c r="D6094" s="1">
        <v>4.7999999999999996E-3</v>
      </c>
      <c r="E6094" s="1">
        <v>2.4500000000000001E-2</v>
      </c>
      <c r="F6094" s="1">
        <v>2.0899999999999998E-2</v>
      </c>
      <c r="G6094">
        <v>1973</v>
      </c>
      <c r="H6094">
        <v>1973</v>
      </c>
      <c r="I6094">
        <v>1973</v>
      </c>
    </row>
    <row r="6095" spans="1:9" x14ac:dyDescent="0.25">
      <c r="A6095" t="s">
        <v>204</v>
      </c>
      <c r="B6095" t="s">
        <v>204</v>
      </c>
      <c r="C6095" t="s">
        <v>1163</v>
      </c>
      <c r="D6095" s="1">
        <v>4.3499999999999997E-2</v>
      </c>
      <c r="E6095" s="1">
        <v>4.41E-2</v>
      </c>
      <c r="F6095" s="1">
        <v>4.8599999999999997E-2</v>
      </c>
      <c r="G6095">
        <v>1973</v>
      </c>
      <c r="H6095">
        <v>1973</v>
      </c>
      <c r="I6095">
        <v>1973</v>
      </c>
    </row>
    <row r="6096" spans="1:9" x14ac:dyDescent="0.25">
      <c r="A6096" t="s">
        <v>204</v>
      </c>
      <c r="B6096" t="s">
        <v>204</v>
      </c>
      <c r="C6096" t="s">
        <v>1181</v>
      </c>
      <c r="D6096" s="1">
        <v>4.0000000000000002E-4</v>
      </c>
      <c r="E6096" s="1">
        <v>2.3999999999999998E-3</v>
      </c>
      <c r="F6096" s="1">
        <v>1.12E-2</v>
      </c>
      <c r="G6096">
        <v>1973</v>
      </c>
      <c r="H6096">
        <v>1973</v>
      </c>
      <c r="I6096">
        <v>1973</v>
      </c>
    </row>
    <row r="6097" spans="1:9" x14ac:dyDescent="0.25">
      <c r="A6097" t="s">
        <v>204</v>
      </c>
      <c r="B6097" t="s">
        <v>204</v>
      </c>
      <c r="C6097" t="s">
        <v>1164</v>
      </c>
      <c r="D6097" s="1">
        <v>4.4999999999999998E-2</v>
      </c>
      <c r="E6097" s="1">
        <v>9.2399999999999996E-2</v>
      </c>
      <c r="F6097" s="1">
        <v>0.14000000000000001</v>
      </c>
      <c r="G6097">
        <v>1973</v>
      </c>
      <c r="H6097">
        <v>1973</v>
      </c>
      <c r="I6097">
        <v>1973</v>
      </c>
    </row>
    <row r="6098" spans="1:9" x14ac:dyDescent="0.25">
      <c r="A6098" t="s">
        <v>204</v>
      </c>
      <c r="B6098" t="s">
        <v>204</v>
      </c>
      <c r="C6098" t="s">
        <v>1182</v>
      </c>
      <c r="D6098" s="1">
        <v>2.0000000000000001E-4</v>
      </c>
      <c r="E6098" s="1">
        <v>3.3999999999999998E-3</v>
      </c>
      <c r="F6098" s="1">
        <v>1.11E-2</v>
      </c>
      <c r="G6098">
        <v>1973</v>
      </c>
      <c r="H6098">
        <v>1973</v>
      </c>
      <c r="I6098">
        <v>1973</v>
      </c>
    </row>
    <row r="6099" spans="1:9" x14ac:dyDescent="0.25">
      <c r="A6099" t="s">
        <v>204</v>
      </c>
      <c r="B6099" t="s">
        <v>204</v>
      </c>
      <c r="C6099" t="s">
        <v>1165</v>
      </c>
      <c r="D6099" s="1">
        <v>3.2500000000000001E-2</v>
      </c>
      <c r="E6099" s="1">
        <v>8.6499999999999994E-2</v>
      </c>
      <c r="F6099" s="1">
        <v>7.2099999999999997E-2</v>
      </c>
      <c r="G6099">
        <v>1973</v>
      </c>
      <c r="H6099">
        <v>1973</v>
      </c>
      <c r="I6099">
        <v>1973</v>
      </c>
    </row>
    <row r="6100" spans="1:9" x14ac:dyDescent="0.25">
      <c r="A6100" t="s">
        <v>204</v>
      </c>
      <c r="B6100" t="s">
        <v>204</v>
      </c>
      <c r="C6100" t="s">
        <v>1177</v>
      </c>
      <c r="D6100" s="1">
        <v>6.1999999999999998E-3</v>
      </c>
      <c r="E6100" s="1">
        <v>1.3100000000000001E-2</v>
      </c>
      <c r="F6100" s="1">
        <v>1.2699999999999999E-2</v>
      </c>
      <c r="G6100">
        <v>1973</v>
      </c>
      <c r="H6100">
        <v>1973</v>
      </c>
      <c r="I6100">
        <v>1973</v>
      </c>
    </row>
    <row r="6101" spans="1:9" x14ac:dyDescent="0.25">
      <c r="A6101" t="s">
        <v>204</v>
      </c>
      <c r="B6101" t="s">
        <v>204</v>
      </c>
      <c r="C6101" t="s">
        <v>1178</v>
      </c>
      <c r="D6101" s="1">
        <v>2.3E-3</v>
      </c>
      <c r="E6101" s="1">
        <v>8.5000000000000006E-3</v>
      </c>
      <c r="F6101" s="1">
        <v>5.7000000000000002E-3</v>
      </c>
      <c r="G6101">
        <v>1973</v>
      </c>
      <c r="H6101">
        <v>1973</v>
      </c>
      <c r="I6101">
        <v>1973</v>
      </c>
    </row>
    <row r="6102" spans="1:9" x14ac:dyDescent="0.25">
      <c r="A6102" t="s">
        <v>204</v>
      </c>
      <c r="B6102" t="s">
        <v>204</v>
      </c>
      <c r="C6102" t="s">
        <v>1179</v>
      </c>
      <c r="D6102" s="1">
        <v>7.7999999999999996E-3</v>
      </c>
      <c r="E6102" s="1">
        <v>2.23E-2</v>
      </c>
      <c r="F6102" s="1">
        <v>1.44E-2</v>
      </c>
      <c r="G6102">
        <v>1973</v>
      </c>
      <c r="H6102">
        <v>1973</v>
      </c>
      <c r="I6102">
        <v>1973</v>
      </c>
    </row>
    <row r="6103" spans="1:9" x14ac:dyDescent="0.25">
      <c r="A6103" t="s">
        <v>204</v>
      </c>
      <c r="B6103" t="s">
        <v>204</v>
      </c>
      <c r="C6103" t="s">
        <v>1166</v>
      </c>
      <c r="D6103" s="1">
        <v>2.4400000000000002E-2</v>
      </c>
      <c r="E6103" s="1">
        <v>0.1143</v>
      </c>
      <c r="F6103" s="1">
        <v>0.1176</v>
      </c>
      <c r="G6103">
        <v>1973</v>
      </c>
      <c r="H6103">
        <v>1973</v>
      </c>
      <c r="I6103">
        <v>1973</v>
      </c>
    </row>
    <row r="6104" spans="1:9" x14ac:dyDescent="0.25">
      <c r="A6104" t="s">
        <v>204</v>
      </c>
      <c r="B6104" t="s">
        <v>204</v>
      </c>
      <c r="C6104" t="s">
        <v>1167</v>
      </c>
      <c r="D6104" s="1">
        <v>2.3E-3</v>
      </c>
      <c r="E6104" s="1">
        <v>5.1000000000000004E-3</v>
      </c>
      <c r="F6104" s="1">
        <v>2.41E-2</v>
      </c>
      <c r="G6104">
        <v>1973</v>
      </c>
      <c r="H6104">
        <v>1973</v>
      </c>
      <c r="I6104">
        <v>1973</v>
      </c>
    </row>
    <row r="6105" spans="1:9" x14ac:dyDescent="0.25">
      <c r="A6105" t="s">
        <v>204</v>
      </c>
      <c r="B6105" t="s">
        <v>204</v>
      </c>
      <c r="C6105" t="s">
        <v>1168</v>
      </c>
      <c r="D6105" s="1">
        <v>2.41E-2</v>
      </c>
      <c r="E6105" s="1">
        <v>6.3899999999999998E-2</v>
      </c>
      <c r="F6105" s="1">
        <v>8.6599999999999996E-2</v>
      </c>
      <c r="G6105">
        <v>1973</v>
      </c>
      <c r="H6105">
        <v>1973</v>
      </c>
      <c r="I6105">
        <v>1973</v>
      </c>
    </row>
    <row r="6106" spans="1:9" x14ac:dyDescent="0.25">
      <c r="A6106" t="s">
        <v>204</v>
      </c>
      <c r="B6106" t="s">
        <v>204</v>
      </c>
      <c r="C6106" t="s">
        <v>1169</v>
      </c>
      <c r="D6106" s="1">
        <v>3.3E-3</v>
      </c>
      <c r="E6106" s="1">
        <v>4.7000000000000002E-3</v>
      </c>
      <c r="F6106" s="1">
        <v>1.4E-2</v>
      </c>
      <c r="G6106">
        <v>1973</v>
      </c>
      <c r="H6106">
        <v>1973</v>
      </c>
      <c r="I6106">
        <v>1973</v>
      </c>
    </row>
    <row r="6107" spans="1:9" x14ac:dyDescent="0.25">
      <c r="A6107" t="s">
        <v>204</v>
      </c>
      <c r="B6107" t="s">
        <v>204</v>
      </c>
      <c r="C6107" t="s">
        <v>1170</v>
      </c>
      <c r="D6107" s="1">
        <v>4.0000000000000001E-3</v>
      </c>
      <c r="E6107" s="1">
        <v>1.5800000000000002E-2</v>
      </c>
      <c r="F6107" s="1">
        <v>2.18E-2</v>
      </c>
      <c r="G6107">
        <v>1973</v>
      </c>
      <c r="H6107">
        <v>1973</v>
      </c>
      <c r="I6107">
        <v>1973</v>
      </c>
    </row>
    <row r="6108" spans="1:9" x14ac:dyDescent="0.25">
      <c r="A6108" t="s">
        <v>204</v>
      </c>
      <c r="B6108" t="s">
        <v>204</v>
      </c>
      <c r="C6108" t="s">
        <v>1171</v>
      </c>
      <c r="D6108" s="1">
        <v>1.1999999999999999E-3</v>
      </c>
      <c r="E6108" s="1">
        <v>2.0000000000000001E-4</v>
      </c>
      <c r="F6108" s="1">
        <v>7.4999999999999997E-3</v>
      </c>
      <c r="G6108">
        <v>1973</v>
      </c>
      <c r="H6108">
        <v>1973</v>
      </c>
      <c r="I6108">
        <v>1973</v>
      </c>
    </row>
    <row r="6109" spans="1:9" x14ac:dyDescent="0.25">
      <c r="A6109" t="s">
        <v>204</v>
      </c>
      <c r="B6109" t="s">
        <v>204</v>
      </c>
      <c r="C6109" t="s">
        <v>1180</v>
      </c>
      <c r="D6109" s="1">
        <v>5.4000000000000003E-3</v>
      </c>
      <c r="E6109" s="1">
        <v>0.01</v>
      </c>
      <c r="F6109" s="1">
        <v>4.24E-2</v>
      </c>
      <c r="G6109">
        <v>1973</v>
      </c>
      <c r="H6109">
        <v>1973</v>
      </c>
      <c r="I6109">
        <v>1973</v>
      </c>
    </row>
    <row r="6110" spans="1:9" x14ac:dyDescent="0.25">
      <c r="A6110" t="s">
        <v>204</v>
      </c>
      <c r="B6110" t="s">
        <v>204</v>
      </c>
      <c r="C6110" t="s">
        <v>1172</v>
      </c>
      <c r="D6110" s="1">
        <v>0.3674</v>
      </c>
      <c r="E6110" s="1">
        <v>0.22389999999999999</v>
      </c>
      <c r="F6110" s="1">
        <v>7.8100000000000003E-2</v>
      </c>
      <c r="G6110">
        <v>1973</v>
      </c>
      <c r="H6110">
        <v>1973</v>
      </c>
      <c r="I6110">
        <v>1973</v>
      </c>
    </row>
    <row r="6111" spans="1:9" x14ac:dyDescent="0.25">
      <c r="A6111" t="s">
        <v>204</v>
      </c>
      <c r="B6111" t="s">
        <v>204</v>
      </c>
      <c r="C6111" t="s">
        <v>1173</v>
      </c>
      <c r="D6111" s="1">
        <v>0.39389999999999997</v>
      </c>
      <c r="E6111" s="1">
        <v>0.10879999999999999</v>
      </c>
      <c r="F6111" s="1">
        <v>3.49E-2</v>
      </c>
      <c r="G6111">
        <v>1973</v>
      </c>
      <c r="H6111">
        <v>1973</v>
      </c>
      <c r="I6111">
        <v>1973</v>
      </c>
    </row>
    <row r="6112" spans="1:9" x14ac:dyDescent="0.25">
      <c r="A6112" t="s">
        <v>204</v>
      </c>
      <c r="B6112" t="s">
        <v>204</v>
      </c>
      <c r="C6112" t="s">
        <v>235</v>
      </c>
      <c r="D6112" s="1">
        <v>6.9999999999999999E-4</v>
      </c>
      <c r="E6112" s="1">
        <v>9.4000000000000004E-3</v>
      </c>
      <c r="F6112" s="1">
        <v>1.35E-2</v>
      </c>
      <c r="G6112">
        <v>1973</v>
      </c>
      <c r="H6112">
        <v>1973</v>
      </c>
      <c r="I6112">
        <v>1973</v>
      </c>
    </row>
    <row r="6113" spans="1:10" x14ac:dyDescent="0.25">
      <c r="A6113" t="s">
        <v>204</v>
      </c>
      <c r="B6113" t="s">
        <v>204</v>
      </c>
      <c r="C6113" t="s">
        <v>215</v>
      </c>
      <c r="D6113" s="1">
        <v>5.0000000000000001E-3</v>
      </c>
      <c r="E6113" s="1">
        <v>0</v>
      </c>
      <c r="F6113" s="1">
        <v>1.4E-3</v>
      </c>
      <c r="G6113">
        <v>1973</v>
      </c>
      <c r="H6113">
        <v>1973</v>
      </c>
      <c r="I6113">
        <v>1973</v>
      </c>
    </row>
    <row r="6114" spans="1:10" x14ac:dyDescent="0.25">
      <c r="A6114" t="s">
        <v>204</v>
      </c>
      <c r="B6114" t="s">
        <v>204</v>
      </c>
      <c r="C6114" t="s">
        <v>1183</v>
      </c>
      <c r="D6114" s="1">
        <v>1E-4</v>
      </c>
      <c r="E6114" s="1">
        <v>1.2200000000000001E-2</v>
      </c>
      <c r="F6114" s="1">
        <v>2.0500000000000001E-2</v>
      </c>
      <c r="G6114">
        <v>1973</v>
      </c>
      <c r="H6114">
        <v>1973</v>
      </c>
      <c r="I6114">
        <v>1973</v>
      </c>
    </row>
    <row r="6116" spans="1:10" x14ac:dyDescent="0.25">
      <c r="A6116" t="s">
        <v>1184</v>
      </c>
    </row>
    <row r="6117" spans="1:10" x14ac:dyDescent="0.25">
      <c r="A6117" t="s">
        <v>189</v>
      </c>
      <c r="B6117" t="s">
        <v>190</v>
      </c>
      <c r="C6117" t="s">
        <v>206</v>
      </c>
      <c r="D6117" t="s">
        <v>754</v>
      </c>
      <c r="E6117" t="s">
        <v>1160</v>
      </c>
      <c r="F6117" t="s">
        <v>1161</v>
      </c>
      <c r="G6117" t="s">
        <v>1162</v>
      </c>
      <c r="H6117" t="s">
        <v>765</v>
      </c>
      <c r="I6117" t="s">
        <v>195</v>
      </c>
      <c r="J6117" t="s">
        <v>196</v>
      </c>
    </row>
    <row r="6118" spans="1:10" s="29" customFormat="1" x14ac:dyDescent="0.25">
      <c r="A6118" s="29" t="s">
        <v>197</v>
      </c>
      <c r="B6118" s="29" t="s">
        <v>198</v>
      </c>
      <c r="C6118" s="29" t="s">
        <v>228</v>
      </c>
      <c r="D6118" s="29" t="s">
        <v>1163</v>
      </c>
      <c r="E6118" s="30">
        <v>8.8499999999999995E-2</v>
      </c>
      <c r="G6118" s="30">
        <v>0.108</v>
      </c>
      <c r="H6118" s="29">
        <v>63</v>
      </c>
      <c r="I6118" s="29">
        <v>28</v>
      </c>
      <c r="J6118" s="29">
        <v>1973</v>
      </c>
    </row>
    <row r="6119" spans="1:10" s="29" customFormat="1" x14ac:dyDescent="0.25">
      <c r="A6119" s="29" t="s">
        <v>197</v>
      </c>
      <c r="B6119" s="29" t="s">
        <v>198</v>
      </c>
      <c r="C6119" s="29" t="s">
        <v>228</v>
      </c>
      <c r="D6119" s="29" t="s">
        <v>1164</v>
      </c>
      <c r="E6119" s="30">
        <v>0.14080000000000001</v>
      </c>
      <c r="G6119" s="30">
        <v>0.26129999999999998</v>
      </c>
      <c r="H6119" s="29">
        <v>63</v>
      </c>
      <c r="I6119" s="29">
        <v>28</v>
      </c>
      <c r="J6119" s="29">
        <v>1973</v>
      </c>
    </row>
    <row r="6120" spans="1:10" s="29" customFormat="1" x14ac:dyDescent="0.25">
      <c r="A6120" s="29" t="s">
        <v>197</v>
      </c>
      <c r="B6120" s="29" t="s">
        <v>198</v>
      </c>
      <c r="C6120" s="29" t="s">
        <v>228</v>
      </c>
      <c r="D6120" s="29" t="s">
        <v>1165</v>
      </c>
      <c r="E6120" s="30">
        <v>5.5599999999999997E-2</v>
      </c>
      <c r="F6120" s="30">
        <v>4.6100000000000002E-2</v>
      </c>
      <c r="H6120" s="29">
        <v>63</v>
      </c>
      <c r="I6120" s="29">
        <v>28</v>
      </c>
      <c r="J6120" s="29">
        <v>1973</v>
      </c>
    </row>
    <row r="6121" spans="1:10" s="29" customFormat="1" x14ac:dyDescent="0.25">
      <c r="A6121" s="29" t="s">
        <v>197</v>
      </c>
      <c r="B6121" s="29" t="s">
        <v>198</v>
      </c>
      <c r="C6121" s="29" t="s">
        <v>228</v>
      </c>
      <c r="D6121" s="29" t="s">
        <v>1166</v>
      </c>
      <c r="E6121" s="30">
        <v>5.5599999999999997E-2</v>
      </c>
      <c r="F6121" s="30">
        <v>0.35959999999999998</v>
      </c>
      <c r="H6121" s="29">
        <v>63</v>
      </c>
      <c r="I6121" s="29">
        <v>28</v>
      </c>
      <c r="J6121" s="29">
        <v>1973</v>
      </c>
    </row>
    <row r="6122" spans="1:10" s="29" customFormat="1" x14ac:dyDescent="0.25">
      <c r="A6122" s="29" t="s">
        <v>197</v>
      </c>
      <c r="B6122" s="29" t="s">
        <v>198</v>
      </c>
      <c r="C6122" s="29" t="s">
        <v>228</v>
      </c>
      <c r="D6122" s="29" t="s">
        <v>1168</v>
      </c>
      <c r="E6122" s="30">
        <v>5.8999999999999997E-2</v>
      </c>
      <c r="G6122" s="30">
        <v>5.7299999999999997E-2</v>
      </c>
      <c r="H6122" s="29">
        <v>63</v>
      </c>
      <c r="I6122" s="29">
        <v>28</v>
      </c>
      <c r="J6122" s="29">
        <v>1973</v>
      </c>
    </row>
    <row r="6123" spans="1:10" s="29" customFormat="1" x14ac:dyDescent="0.25">
      <c r="A6123" s="29" t="s">
        <v>197</v>
      </c>
      <c r="B6123" s="29" t="s">
        <v>198</v>
      </c>
      <c r="C6123" s="29" t="s">
        <v>228</v>
      </c>
      <c r="D6123" s="29" t="s">
        <v>1169</v>
      </c>
      <c r="E6123" s="30">
        <v>2.9499999999999998E-2</v>
      </c>
      <c r="H6123" s="29">
        <v>63</v>
      </c>
      <c r="I6123" s="29">
        <v>28</v>
      </c>
      <c r="J6123" s="29">
        <v>1973</v>
      </c>
    </row>
    <row r="6124" spans="1:10" s="29" customFormat="1" x14ac:dyDescent="0.25">
      <c r="A6124" s="29" t="s">
        <v>197</v>
      </c>
      <c r="B6124" s="29" t="s">
        <v>198</v>
      </c>
      <c r="C6124" s="29" t="s">
        <v>228</v>
      </c>
      <c r="D6124" s="29" t="s">
        <v>1170</v>
      </c>
      <c r="E6124" s="30">
        <v>0.02</v>
      </c>
      <c r="F6124" s="30">
        <v>4.6100000000000002E-2</v>
      </c>
      <c r="G6124" s="30">
        <v>3.8800000000000001E-2</v>
      </c>
      <c r="H6124" s="29">
        <v>63</v>
      </c>
      <c r="I6124" s="29">
        <v>28</v>
      </c>
      <c r="J6124" s="29">
        <v>1973</v>
      </c>
    </row>
    <row r="6125" spans="1:10" s="29" customFormat="1" x14ac:dyDescent="0.25">
      <c r="A6125" s="29" t="s">
        <v>197</v>
      </c>
      <c r="B6125" s="29" t="s">
        <v>198</v>
      </c>
      <c r="C6125" s="29" t="s">
        <v>228</v>
      </c>
      <c r="D6125" s="29" t="s">
        <v>1172</v>
      </c>
      <c r="E6125" s="30">
        <v>0.53090000000000004</v>
      </c>
      <c r="F6125" s="30">
        <v>0.13819999999999999</v>
      </c>
      <c r="G6125" s="30">
        <v>0.108</v>
      </c>
      <c r="H6125" s="29">
        <v>63</v>
      </c>
      <c r="I6125" s="29">
        <v>28</v>
      </c>
      <c r="J6125" s="29">
        <v>1973</v>
      </c>
    </row>
    <row r="6126" spans="1:10" s="29" customFormat="1" x14ac:dyDescent="0.25">
      <c r="A6126" s="29" t="s">
        <v>197</v>
      </c>
      <c r="B6126" s="29" t="s">
        <v>198</v>
      </c>
      <c r="C6126" s="29" t="s">
        <v>228</v>
      </c>
      <c r="D6126" s="29" t="s">
        <v>1173</v>
      </c>
      <c r="E6126" s="30">
        <v>0.02</v>
      </c>
      <c r="F6126" s="30">
        <v>0.17369999999999999</v>
      </c>
      <c r="G6126" s="30">
        <v>5.7299999999999997E-2</v>
      </c>
      <c r="H6126" s="29">
        <v>63</v>
      </c>
      <c r="I6126" s="29">
        <v>28</v>
      </c>
      <c r="J6126" s="29">
        <v>1973</v>
      </c>
    </row>
    <row r="6127" spans="1:10" x14ac:dyDescent="0.25">
      <c r="A6127" t="s">
        <v>197</v>
      </c>
      <c r="B6127" t="s">
        <v>198</v>
      </c>
      <c r="C6127" t="s">
        <v>229</v>
      </c>
      <c r="D6127" t="s">
        <v>1163</v>
      </c>
      <c r="E6127" s="1">
        <v>6.7799999999999999E-2</v>
      </c>
      <c r="F6127" s="1">
        <v>4.8899999999999999E-2</v>
      </c>
      <c r="G6127" s="1">
        <v>2.7900000000000001E-2</v>
      </c>
      <c r="H6127">
        <v>87</v>
      </c>
      <c r="I6127">
        <v>45</v>
      </c>
      <c r="J6127">
        <v>1973</v>
      </c>
    </row>
    <row r="6128" spans="1:10" x14ac:dyDescent="0.25">
      <c r="A6128" t="s">
        <v>197</v>
      </c>
      <c r="B6128" t="s">
        <v>198</v>
      </c>
      <c r="C6128" t="s">
        <v>229</v>
      </c>
      <c r="D6128" t="s">
        <v>1164</v>
      </c>
      <c r="E6128" s="1">
        <v>3.5900000000000001E-2</v>
      </c>
      <c r="F6128" s="1">
        <v>8.2400000000000001E-2</v>
      </c>
      <c r="G6128" s="1">
        <v>0.27289999999999998</v>
      </c>
      <c r="H6128">
        <v>87</v>
      </c>
      <c r="I6128">
        <v>45</v>
      </c>
      <c r="J6128">
        <v>1973</v>
      </c>
    </row>
    <row r="6129" spans="1:10" x14ac:dyDescent="0.25">
      <c r="A6129" t="s">
        <v>197</v>
      </c>
      <c r="B6129" t="s">
        <v>198</v>
      </c>
      <c r="C6129" t="s">
        <v>229</v>
      </c>
      <c r="D6129" t="s">
        <v>1166</v>
      </c>
      <c r="E6129" s="1">
        <v>7.4700000000000003E-2</v>
      </c>
      <c r="F6129" s="1">
        <v>0.28210000000000002</v>
      </c>
      <c r="G6129" s="1">
        <v>0.17949999999999999</v>
      </c>
      <c r="H6129">
        <v>87</v>
      </c>
      <c r="I6129">
        <v>45</v>
      </c>
      <c r="J6129">
        <v>1973</v>
      </c>
    </row>
    <row r="6130" spans="1:10" x14ac:dyDescent="0.25">
      <c r="A6130" t="s">
        <v>197</v>
      </c>
      <c r="B6130" t="s">
        <v>198</v>
      </c>
      <c r="C6130" t="s">
        <v>229</v>
      </c>
      <c r="D6130" t="s">
        <v>1167</v>
      </c>
      <c r="E6130" s="1">
        <v>1.4500000000000001E-2</v>
      </c>
      <c r="H6130">
        <v>87</v>
      </c>
      <c r="I6130">
        <v>45</v>
      </c>
      <c r="J6130">
        <v>1973</v>
      </c>
    </row>
    <row r="6131" spans="1:10" x14ac:dyDescent="0.25">
      <c r="A6131" t="s">
        <v>197</v>
      </c>
      <c r="B6131" t="s">
        <v>198</v>
      </c>
      <c r="C6131" t="s">
        <v>229</v>
      </c>
      <c r="D6131" t="s">
        <v>1171</v>
      </c>
      <c r="E6131" s="1">
        <v>2.1399999999999999E-2</v>
      </c>
      <c r="G6131" s="1">
        <v>5.1299999999999998E-2</v>
      </c>
      <c r="H6131">
        <v>87</v>
      </c>
      <c r="I6131">
        <v>45</v>
      </c>
      <c r="J6131">
        <v>1973</v>
      </c>
    </row>
    <row r="6132" spans="1:10" x14ac:dyDescent="0.25">
      <c r="A6132" t="s">
        <v>197</v>
      </c>
      <c r="B6132" t="s">
        <v>198</v>
      </c>
      <c r="C6132" t="s">
        <v>229</v>
      </c>
      <c r="D6132" t="s">
        <v>1172</v>
      </c>
      <c r="E6132" s="1">
        <v>0.63070000000000004</v>
      </c>
      <c r="F6132" s="1">
        <v>0.1729</v>
      </c>
      <c r="G6132" s="1">
        <v>5.5899999999999998E-2</v>
      </c>
      <c r="H6132">
        <v>87</v>
      </c>
      <c r="I6132">
        <v>45</v>
      </c>
      <c r="J6132">
        <v>1973</v>
      </c>
    </row>
    <row r="6133" spans="1:10" x14ac:dyDescent="0.25">
      <c r="A6133" t="s">
        <v>197</v>
      </c>
      <c r="B6133" t="s">
        <v>198</v>
      </c>
      <c r="C6133" t="s">
        <v>229</v>
      </c>
      <c r="D6133" t="s">
        <v>1173</v>
      </c>
      <c r="E6133" s="1">
        <v>0.15490000000000001</v>
      </c>
      <c r="F6133" s="1">
        <v>8.5199999999999998E-2</v>
      </c>
      <c r="G6133" s="1">
        <v>2.7900000000000001E-2</v>
      </c>
      <c r="H6133">
        <v>87</v>
      </c>
      <c r="I6133">
        <v>45</v>
      </c>
      <c r="J6133">
        <v>1973</v>
      </c>
    </row>
    <row r="6134" spans="1:10" x14ac:dyDescent="0.25">
      <c r="A6134" t="s">
        <v>199</v>
      </c>
      <c r="B6134" t="s">
        <v>198</v>
      </c>
      <c r="C6134" t="s">
        <v>228</v>
      </c>
      <c r="D6134" t="s">
        <v>1174</v>
      </c>
      <c r="E6134" s="1">
        <v>2.3E-3</v>
      </c>
      <c r="F6134" s="1">
        <v>0.10249999999999999</v>
      </c>
      <c r="G6134" s="1">
        <v>1.5299999999999999E-2</v>
      </c>
      <c r="H6134">
        <v>77</v>
      </c>
      <c r="I6134">
        <v>123</v>
      </c>
      <c r="J6134">
        <v>1973</v>
      </c>
    </row>
    <row r="6135" spans="1:10" x14ac:dyDescent="0.25">
      <c r="A6135" t="s">
        <v>199</v>
      </c>
      <c r="B6135" t="s">
        <v>198</v>
      </c>
      <c r="C6135" t="s">
        <v>228</v>
      </c>
      <c r="D6135" t="s">
        <v>220</v>
      </c>
      <c r="E6135" s="1">
        <v>3.7000000000000002E-3</v>
      </c>
      <c r="F6135" s="1">
        <v>2.0899999999999998E-2</v>
      </c>
      <c r="G6135" s="1">
        <v>7.1199999999999999E-2</v>
      </c>
      <c r="H6135">
        <v>77</v>
      </c>
      <c r="I6135">
        <v>123</v>
      </c>
      <c r="J6135">
        <v>1973</v>
      </c>
    </row>
    <row r="6136" spans="1:10" x14ac:dyDescent="0.25">
      <c r="A6136" t="s">
        <v>199</v>
      </c>
      <c r="B6136" t="s">
        <v>198</v>
      </c>
      <c r="C6136" t="s">
        <v>228</v>
      </c>
      <c r="D6136" t="s">
        <v>1175</v>
      </c>
      <c r="E6136" s="1">
        <v>8.5000000000000006E-3</v>
      </c>
      <c r="F6136" s="1">
        <v>0.10879999999999999</v>
      </c>
      <c r="G6136" s="1">
        <v>0.15290000000000001</v>
      </c>
      <c r="H6136">
        <v>77</v>
      </c>
      <c r="I6136">
        <v>123</v>
      </c>
      <c r="J6136">
        <v>1973</v>
      </c>
    </row>
    <row r="6137" spans="1:10" x14ac:dyDescent="0.25">
      <c r="A6137" t="s">
        <v>199</v>
      </c>
      <c r="B6137" t="s">
        <v>198</v>
      </c>
      <c r="C6137" t="s">
        <v>228</v>
      </c>
      <c r="D6137" t="s">
        <v>1176</v>
      </c>
      <c r="E6137" s="1">
        <v>8.5000000000000006E-3</v>
      </c>
      <c r="F6137" s="1">
        <v>2.8199999999999999E-2</v>
      </c>
      <c r="G6137" s="1">
        <v>1.8800000000000001E-2</v>
      </c>
      <c r="H6137">
        <v>77</v>
      </c>
      <c r="I6137">
        <v>123</v>
      </c>
      <c r="J6137">
        <v>1973</v>
      </c>
    </row>
    <row r="6138" spans="1:10" x14ac:dyDescent="0.25">
      <c r="A6138" t="s">
        <v>199</v>
      </c>
      <c r="B6138" t="s">
        <v>198</v>
      </c>
      <c r="C6138" t="s">
        <v>228</v>
      </c>
      <c r="D6138" t="s">
        <v>1163</v>
      </c>
      <c r="E6138" s="1">
        <v>1.3100000000000001E-2</v>
      </c>
      <c r="F6138" s="1">
        <v>4.5900000000000003E-2</v>
      </c>
      <c r="G6138" s="1">
        <v>4.8099999999999997E-2</v>
      </c>
      <c r="H6138">
        <v>77</v>
      </c>
      <c r="I6138">
        <v>123</v>
      </c>
      <c r="J6138">
        <v>1973</v>
      </c>
    </row>
    <row r="6139" spans="1:10" x14ac:dyDescent="0.25">
      <c r="A6139" t="s">
        <v>199</v>
      </c>
      <c r="B6139" t="s">
        <v>198</v>
      </c>
      <c r="C6139" t="s">
        <v>228</v>
      </c>
      <c r="D6139" t="s">
        <v>1164</v>
      </c>
      <c r="E6139" s="1">
        <v>3.6200000000000003E-2</v>
      </c>
      <c r="F6139" s="1">
        <v>4.5999999999999999E-2</v>
      </c>
      <c r="G6139" s="1">
        <v>6.7299999999999999E-2</v>
      </c>
      <c r="H6139">
        <v>77</v>
      </c>
      <c r="I6139">
        <v>123</v>
      </c>
      <c r="J6139">
        <v>1973</v>
      </c>
    </row>
    <row r="6140" spans="1:10" x14ac:dyDescent="0.25">
      <c r="A6140" t="s">
        <v>199</v>
      </c>
      <c r="B6140" t="s">
        <v>198</v>
      </c>
      <c r="C6140" t="s">
        <v>228</v>
      </c>
      <c r="D6140" t="s">
        <v>1165</v>
      </c>
      <c r="E6140" s="1">
        <v>2.0199999999999999E-2</v>
      </c>
      <c r="F6140" s="1">
        <v>0.03</v>
      </c>
      <c r="G6140" s="1">
        <v>1.9400000000000001E-2</v>
      </c>
      <c r="H6140">
        <v>77</v>
      </c>
      <c r="I6140">
        <v>123</v>
      </c>
      <c r="J6140">
        <v>1973</v>
      </c>
    </row>
    <row r="6141" spans="1:10" x14ac:dyDescent="0.25">
      <c r="A6141" t="s">
        <v>199</v>
      </c>
      <c r="B6141" t="s">
        <v>198</v>
      </c>
      <c r="C6141" t="s">
        <v>228</v>
      </c>
      <c r="D6141" t="s">
        <v>1177</v>
      </c>
      <c r="E6141" s="1">
        <v>9.7999999999999997E-3</v>
      </c>
      <c r="H6141">
        <v>77</v>
      </c>
      <c r="I6141">
        <v>123</v>
      </c>
      <c r="J6141">
        <v>1973</v>
      </c>
    </row>
    <row r="6142" spans="1:10" x14ac:dyDescent="0.25">
      <c r="A6142" t="s">
        <v>199</v>
      </c>
      <c r="B6142" t="s">
        <v>198</v>
      </c>
      <c r="C6142" t="s">
        <v>228</v>
      </c>
      <c r="D6142" t="s">
        <v>1179</v>
      </c>
      <c r="E6142" s="1">
        <v>9.9000000000000008E-3</v>
      </c>
      <c r="F6142" s="1">
        <v>2.81E-2</v>
      </c>
      <c r="H6142">
        <v>77</v>
      </c>
      <c r="I6142">
        <v>123</v>
      </c>
      <c r="J6142">
        <v>1973</v>
      </c>
    </row>
    <row r="6143" spans="1:10" x14ac:dyDescent="0.25">
      <c r="A6143" t="s">
        <v>199</v>
      </c>
      <c r="B6143" t="s">
        <v>198</v>
      </c>
      <c r="C6143" t="s">
        <v>228</v>
      </c>
      <c r="D6143" t="s">
        <v>1166</v>
      </c>
      <c r="E6143" s="1">
        <v>4.9700000000000001E-2</v>
      </c>
      <c r="F6143" s="1">
        <v>3.6299999999999999E-2</v>
      </c>
      <c r="G6143" s="1">
        <v>0.1777</v>
      </c>
      <c r="H6143">
        <v>77</v>
      </c>
      <c r="I6143">
        <v>123</v>
      </c>
      <c r="J6143">
        <v>1973</v>
      </c>
    </row>
    <row r="6144" spans="1:10" x14ac:dyDescent="0.25">
      <c r="A6144" t="s">
        <v>199</v>
      </c>
      <c r="B6144" t="s">
        <v>198</v>
      </c>
      <c r="C6144" t="s">
        <v>228</v>
      </c>
      <c r="D6144" t="s">
        <v>1167</v>
      </c>
      <c r="E6144" s="1">
        <v>1.2200000000000001E-2</v>
      </c>
      <c r="F6144" s="1">
        <v>1.04E-2</v>
      </c>
      <c r="G6144" s="1">
        <v>7.7999999999999996E-3</v>
      </c>
      <c r="H6144">
        <v>77</v>
      </c>
      <c r="I6144">
        <v>123</v>
      </c>
      <c r="J6144">
        <v>1973</v>
      </c>
    </row>
    <row r="6145" spans="1:10" x14ac:dyDescent="0.25">
      <c r="A6145" t="s">
        <v>199</v>
      </c>
      <c r="B6145" t="s">
        <v>198</v>
      </c>
      <c r="C6145" t="s">
        <v>228</v>
      </c>
      <c r="D6145" t="s">
        <v>1168</v>
      </c>
      <c r="E6145" s="1">
        <v>1.5800000000000002E-2</v>
      </c>
      <c r="F6145" s="1">
        <v>2.1399999999999999E-2</v>
      </c>
      <c r="G6145" s="1">
        <v>0.1784</v>
      </c>
      <c r="H6145">
        <v>77</v>
      </c>
      <c r="I6145">
        <v>123</v>
      </c>
      <c r="J6145">
        <v>1973</v>
      </c>
    </row>
    <row r="6146" spans="1:10" x14ac:dyDescent="0.25">
      <c r="A6146" t="s">
        <v>199</v>
      </c>
      <c r="B6146" t="s">
        <v>198</v>
      </c>
      <c r="C6146" t="s">
        <v>228</v>
      </c>
      <c r="D6146" t="s">
        <v>1170</v>
      </c>
      <c r="E6146" s="1">
        <v>1.7000000000000001E-2</v>
      </c>
      <c r="F6146" s="1">
        <v>7.4999999999999997E-2</v>
      </c>
      <c r="G6146" s="1">
        <v>1.03E-2</v>
      </c>
      <c r="H6146">
        <v>77</v>
      </c>
      <c r="I6146">
        <v>123</v>
      </c>
      <c r="J6146">
        <v>1973</v>
      </c>
    </row>
    <row r="6147" spans="1:10" x14ac:dyDescent="0.25">
      <c r="A6147" t="s">
        <v>199</v>
      </c>
      <c r="B6147" t="s">
        <v>198</v>
      </c>
      <c r="C6147" t="s">
        <v>228</v>
      </c>
      <c r="D6147" t="s">
        <v>1180</v>
      </c>
      <c r="E6147" s="1">
        <v>9.1000000000000004E-3</v>
      </c>
      <c r="F6147" s="1">
        <v>3.73E-2</v>
      </c>
      <c r="G6147" s="1">
        <v>1.5599999999999999E-2</v>
      </c>
      <c r="H6147">
        <v>77</v>
      </c>
      <c r="I6147">
        <v>123</v>
      </c>
      <c r="J6147">
        <v>1973</v>
      </c>
    </row>
    <row r="6148" spans="1:10" x14ac:dyDescent="0.25">
      <c r="A6148" t="s">
        <v>199</v>
      </c>
      <c r="B6148" t="s">
        <v>198</v>
      </c>
      <c r="C6148" t="s">
        <v>228</v>
      </c>
      <c r="D6148" t="s">
        <v>1172</v>
      </c>
      <c r="E6148" s="1">
        <v>0.3735</v>
      </c>
      <c r="F6148" s="1">
        <v>0.17449999999999999</v>
      </c>
      <c r="G6148" s="1">
        <v>2.87E-2</v>
      </c>
      <c r="H6148">
        <v>77</v>
      </c>
      <c r="I6148">
        <v>123</v>
      </c>
      <c r="J6148">
        <v>1973</v>
      </c>
    </row>
    <row r="6149" spans="1:10" x14ac:dyDescent="0.25">
      <c r="A6149" t="s">
        <v>199</v>
      </c>
      <c r="B6149" t="s">
        <v>198</v>
      </c>
      <c r="C6149" t="s">
        <v>228</v>
      </c>
      <c r="D6149" t="s">
        <v>1173</v>
      </c>
      <c r="E6149" s="1">
        <v>0.41060000000000002</v>
      </c>
      <c r="F6149" s="1">
        <v>0.19320000000000001</v>
      </c>
      <c r="G6149" s="1">
        <v>2.4899999999999999E-2</v>
      </c>
      <c r="H6149">
        <v>77</v>
      </c>
      <c r="I6149">
        <v>123</v>
      </c>
      <c r="J6149">
        <v>1973</v>
      </c>
    </row>
    <row r="6150" spans="1:10" x14ac:dyDescent="0.25">
      <c r="A6150" t="s">
        <v>199</v>
      </c>
      <c r="B6150" t="s">
        <v>198</v>
      </c>
      <c r="C6150" t="s">
        <v>229</v>
      </c>
      <c r="D6150" t="s">
        <v>1174</v>
      </c>
      <c r="E6150" s="1">
        <v>4.7999999999999996E-3</v>
      </c>
      <c r="F6150" s="1">
        <v>7.9000000000000008E-3</v>
      </c>
      <c r="G6150" s="1">
        <v>5.4600000000000003E-2</v>
      </c>
      <c r="H6150">
        <v>195</v>
      </c>
      <c r="I6150">
        <v>165</v>
      </c>
      <c r="J6150">
        <v>1973</v>
      </c>
    </row>
    <row r="6151" spans="1:10" x14ac:dyDescent="0.25">
      <c r="A6151" t="s">
        <v>199</v>
      </c>
      <c r="B6151" t="s">
        <v>198</v>
      </c>
      <c r="C6151" t="s">
        <v>229</v>
      </c>
      <c r="D6151" t="s">
        <v>1175</v>
      </c>
      <c r="E6151" s="1">
        <v>6.3E-3</v>
      </c>
      <c r="F6151" s="1">
        <v>6.9900000000000004E-2</v>
      </c>
      <c r="G6151" s="1">
        <v>1.6299999999999999E-2</v>
      </c>
      <c r="H6151">
        <v>195</v>
      </c>
      <c r="I6151">
        <v>165</v>
      </c>
      <c r="J6151">
        <v>1973</v>
      </c>
    </row>
    <row r="6152" spans="1:10" x14ac:dyDescent="0.25">
      <c r="A6152" t="s">
        <v>199</v>
      </c>
      <c r="B6152" t="s">
        <v>198</v>
      </c>
      <c r="C6152" t="s">
        <v>229</v>
      </c>
      <c r="D6152" t="s">
        <v>1176</v>
      </c>
      <c r="E6152" s="1">
        <v>6.9999999999999999E-4</v>
      </c>
      <c r="F6152" s="1">
        <v>1.37E-2</v>
      </c>
      <c r="G6152" s="1">
        <v>1.7299999999999999E-2</v>
      </c>
      <c r="H6152">
        <v>195</v>
      </c>
      <c r="I6152">
        <v>165</v>
      </c>
      <c r="J6152">
        <v>1973</v>
      </c>
    </row>
    <row r="6153" spans="1:10" x14ac:dyDescent="0.25">
      <c r="A6153" t="s">
        <v>199</v>
      </c>
      <c r="B6153" t="s">
        <v>198</v>
      </c>
      <c r="C6153" t="s">
        <v>229</v>
      </c>
      <c r="D6153" t="s">
        <v>1163</v>
      </c>
      <c r="E6153" s="1">
        <v>6.7900000000000002E-2</v>
      </c>
      <c r="F6153" s="1">
        <v>0.12280000000000001</v>
      </c>
      <c r="G6153" s="1">
        <v>8.14E-2</v>
      </c>
      <c r="H6153">
        <v>195</v>
      </c>
      <c r="I6153">
        <v>165</v>
      </c>
      <c r="J6153">
        <v>1973</v>
      </c>
    </row>
    <row r="6154" spans="1:10" x14ac:dyDescent="0.25">
      <c r="A6154" t="s">
        <v>199</v>
      </c>
      <c r="B6154" t="s">
        <v>198</v>
      </c>
      <c r="C6154" t="s">
        <v>229</v>
      </c>
      <c r="D6154" t="s">
        <v>1164</v>
      </c>
      <c r="E6154" s="1">
        <v>3.27E-2</v>
      </c>
      <c r="F6154" s="1">
        <v>8.5999999999999993E-2</v>
      </c>
      <c r="G6154" s="1">
        <v>7.4399999999999994E-2</v>
      </c>
      <c r="H6154">
        <v>195</v>
      </c>
      <c r="I6154">
        <v>165</v>
      </c>
      <c r="J6154">
        <v>1973</v>
      </c>
    </row>
    <row r="6155" spans="1:10" x14ac:dyDescent="0.25">
      <c r="A6155" t="s">
        <v>199</v>
      </c>
      <c r="B6155" t="s">
        <v>198</v>
      </c>
      <c r="C6155" t="s">
        <v>229</v>
      </c>
      <c r="D6155" t="s">
        <v>1165</v>
      </c>
      <c r="E6155" s="1">
        <v>1.5800000000000002E-2</v>
      </c>
      <c r="F6155" s="1">
        <v>3.8100000000000002E-2</v>
      </c>
      <c r="G6155" s="1">
        <v>4.9500000000000002E-2</v>
      </c>
      <c r="H6155">
        <v>195</v>
      </c>
      <c r="I6155">
        <v>165</v>
      </c>
      <c r="J6155">
        <v>1973</v>
      </c>
    </row>
    <row r="6156" spans="1:10" x14ac:dyDescent="0.25">
      <c r="A6156" t="s">
        <v>199</v>
      </c>
      <c r="B6156" t="s">
        <v>198</v>
      </c>
      <c r="C6156" t="s">
        <v>229</v>
      </c>
      <c r="D6156" t="s">
        <v>1177</v>
      </c>
      <c r="E6156" s="1">
        <v>1.1999999999999999E-3</v>
      </c>
      <c r="G6156" s="1">
        <v>1.52E-2</v>
      </c>
      <c r="H6156">
        <v>195</v>
      </c>
      <c r="I6156">
        <v>165</v>
      </c>
      <c r="J6156">
        <v>1973</v>
      </c>
    </row>
    <row r="6157" spans="1:10" x14ac:dyDescent="0.25">
      <c r="A6157" t="s">
        <v>199</v>
      </c>
      <c r="B6157" t="s">
        <v>198</v>
      </c>
      <c r="C6157" t="s">
        <v>229</v>
      </c>
      <c r="D6157" t="s">
        <v>1178</v>
      </c>
      <c r="E6157" s="1">
        <v>1.0699999999999999E-2</v>
      </c>
      <c r="F6157" s="1">
        <v>1.52E-2</v>
      </c>
      <c r="G6157" s="1">
        <v>4.1000000000000003E-3</v>
      </c>
      <c r="H6157">
        <v>195</v>
      </c>
      <c r="I6157">
        <v>165</v>
      </c>
      <c r="J6157">
        <v>1973</v>
      </c>
    </row>
    <row r="6158" spans="1:10" x14ac:dyDescent="0.25">
      <c r="A6158" t="s">
        <v>199</v>
      </c>
      <c r="B6158" t="s">
        <v>198</v>
      </c>
      <c r="C6158" t="s">
        <v>229</v>
      </c>
      <c r="D6158" t="s">
        <v>1166</v>
      </c>
      <c r="E6158" s="1">
        <v>6.7000000000000002E-3</v>
      </c>
      <c r="F6158" s="1">
        <v>0.1086</v>
      </c>
      <c r="G6158" s="1">
        <v>0.17829999999999999</v>
      </c>
      <c r="H6158">
        <v>195</v>
      </c>
      <c r="I6158">
        <v>165</v>
      </c>
      <c r="J6158">
        <v>1973</v>
      </c>
    </row>
    <row r="6159" spans="1:10" x14ac:dyDescent="0.25">
      <c r="A6159" t="s">
        <v>199</v>
      </c>
      <c r="B6159" t="s">
        <v>198</v>
      </c>
      <c r="C6159" t="s">
        <v>229</v>
      </c>
      <c r="D6159" t="s">
        <v>1167</v>
      </c>
      <c r="E6159" s="1">
        <v>1.5E-3</v>
      </c>
      <c r="F6159" s="1">
        <v>4.0000000000000001E-3</v>
      </c>
      <c r="G6159" s="1">
        <v>1.2E-2</v>
      </c>
      <c r="H6159">
        <v>195</v>
      </c>
      <c r="I6159">
        <v>165</v>
      </c>
      <c r="J6159">
        <v>1973</v>
      </c>
    </row>
    <row r="6160" spans="1:10" x14ac:dyDescent="0.25">
      <c r="A6160" t="s">
        <v>199</v>
      </c>
      <c r="B6160" t="s">
        <v>198</v>
      </c>
      <c r="C6160" t="s">
        <v>229</v>
      </c>
      <c r="D6160" t="s">
        <v>1168</v>
      </c>
      <c r="E6160" s="1">
        <v>1.54E-2</v>
      </c>
      <c r="F6160" s="1">
        <v>1.8499999999999999E-2</v>
      </c>
      <c r="G6160" s="1">
        <v>9.1600000000000001E-2</v>
      </c>
      <c r="H6160">
        <v>195</v>
      </c>
      <c r="I6160">
        <v>165</v>
      </c>
      <c r="J6160">
        <v>1973</v>
      </c>
    </row>
    <row r="6161" spans="1:10" x14ac:dyDescent="0.25">
      <c r="A6161" t="s">
        <v>199</v>
      </c>
      <c r="B6161" t="s">
        <v>198</v>
      </c>
      <c r="C6161" t="s">
        <v>229</v>
      </c>
      <c r="D6161" t="s">
        <v>1169</v>
      </c>
      <c r="E6161" s="1">
        <v>2.5000000000000001E-3</v>
      </c>
      <c r="F6161" s="1">
        <v>8.9999999999999998E-4</v>
      </c>
      <c r="G6161" s="1">
        <v>5.8999999999999999E-3</v>
      </c>
      <c r="H6161">
        <v>195</v>
      </c>
      <c r="I6161">
        <v>165</v>
      </c>
      <c r="J6161">
        <v>1973</v>
      </c>
    </row>
    <row r="6162" spans="1:10" x14ac:dyDescent="0.25">
      <c r="A6162" t="s">
        <v>199</v>
      </c>
      <c r="B6162" t="s">
        <v>198</v>
      </c>
      <c r="C6162" t="s">
        <v>229</v>
      </c>
      <c r="D6162" t="s">
        <v>1170</v>
      </c>
      <c r="E6162" s="1">
        <v>1.4E-2</v>
      </c>
      <c r="F6162" s="1">
        <v>8.9999999999999998E-4</v>
      </c>
      <c r="G6162" s="1">
        <v>1.67E-2</v>
      </c>
      <c r="H6162">
        <v>195</v>
      </c>
      <c r="I6162">
        <v>165</v>
      </c>
      <c r="J6162">
        <v>1973</v>
      </c>
    </row>
    <row r="6163" spans="1:10" x14ac:dyDescent="0.25">
      <c r="A6163" t="s">
        <v>199</v>
      </c>
      <c r="B6163" t="s">
        <v>198</v>
      </c>
      <c r="C6163" t="s">
        <v>229</v>
      </c>
      <c r="D6163" t="s">
        <v>1172</v>
      </c>
      <c r="E6163" s="1">
        <v>0.39219999999999999</v>
      </c>
      <c r="F6163" s="1">
        <v>0.32140000000000002</v>
      </c>
      <c r="G6163" s="1">
        <v>0.18920000000000001</v>
      </c>
      <c r="H6163">
        <v>195</v>
      </c>
      <c r="I6163">
        <v>165</v>
      </c>
      <c r="J6163">
        <v>1973</v>
      </c>
    </row>
    <row r="6164" spans="1:10" x14ac:dyDescent="0.25">
      <c r="A6164" t="s">
        <v>199</v>
      </c>
      <c r="B6164" t="s">
        <v>198</v>
      </c>
      <c r="C6164" t="s">
        <v>229</v>
      </c>
      <c r="D6164" t="s">
        <v>1173</v>
      </c>
      <c r="E6164" s="1">
        <v>0.42759999999999998</v>
      </c>
      <c r="F6164" s="1">
        <v>0.13350000000000001</v>
      </c>
      <c r="G6164" s="1">
        <v>7.7200000000000005E-2</v>
      </c>
      <c r="H6164">
        <v>195</v>
      </c>
      <c r="I6164">
        <v>165</v>
      </c>
      <c r="J6164">
        <v>1973</v>
      </c>
    </row>
    <row r="6165" spans="1:10" x14ac:dyDescent="0.25">
      <c r="A6165" t="s">
        <v>200</v>
      </c>
      <c r="B6165" t="s">
        <v>198</v>
      </c>
      <c r="C6165" t="s">
        <v>228</v>
      </c>
      <c r="D6165" t="s">
        <v>1176</v>
      </c>
      <c r="E6165" s="1">
        <v>3.7000000000000002E-3</v>
      </c>
      <c r="F6165" s="1">
        <v>4.53E-2</v>
      </c>
      <c r="H6165">
        <v>56</v>
      </c>
      <c r="I6165">
        <v>86</v>
      </c>
      <c r="J6165">
        <v>1973</v>
      </c>
    </row>
    <row r="6166" spans="1:10" x14ac:dyDescent="0.25">
      <c r="A6166" t="s">
        <v>200</v>
      </c>
      <c r="B6166" t="s">
        <v>198</v>
      </c>
      <c r="C6166" t="s">
        <v>228</v>
      </c>
      <c r="D6166" t="s">
        <v>1163</v>
      </c>
      <c r="E6166" s="1">
        <v>0.1739</v>
      </c>
      <c r="F6166" s="1">
        <v>8.8400000000000006E-2</v>
      </c>
      <c r="G6166" s="1">
        <v>5.57E-2</v>
      </c>
      <c r="H6166">
        <v>56</v>
      </c>
      <c r="I6166">
        <v>86</v>
      </c>
      <c r="J6166">
        <v>1973</v>
      </c>
    </row>
    <row r="6167" spans="1:10" x14ac:dyDescent="0.25">
      <c r="A6167" t="s">
        <v>200</v>
      </c>
      <c r="B6167" t="s">
        <v>198</v>
      </c>
      <c r="C6167" t="s">
        <v>228</v>
      </c>
      <c r="D6167" t="s">
        <v>1164</v>
      </c>
      <c r="E6167" s="1">
        <v>3.0300000000000001E-2</v>
      </c>
      <c r="F6167" s="1">
        <v>8.2500000000000004E-2</v>
      </c>
      <c r="G6167" s="1">
        <v>0.13519999999999999</v>
      </c>
      <c r="H6167">
        <v>56</v>
      </c>
      <c r="I6167">
        <v>86</v>
      </c>
      <c r="J6167">
        <v>1973</v>
      </c>
    </row>
    <row r="6168" spans="1:10" x14ac:dyDescent="0.25">
      <c r="A6168" t="s">
        <v>200</v>
      </c>
      <c r="B6168" t="s">
        <v>198</v>
      </c>
      <c r="C6168" t="s">
        <v>228</v>
      </c>
      <c r="D6168" t="s">
        <v>1165</v>
      </c>
      <c r="E6168" s="1">
        <v>8.6999999999999994E-3</v>
      </c>
      <c r="F6168" s="1">
        <v>7.4999999999999997E-2</v>
      </c>
      <c r="G6168" s="1">
        <v>7.8700000000000006E-2</v>
      </c>
      <c r="H6168">
        <v>56</v>
      </c>
      <c r="I6168">
        <v>86</v>
      </c>
      <c r="J6168">
        <v>1973</v>
      </c>
    </row>
    <row r="6169" spans="1:10" x14ac:dyDescent="0.25">
      <c r="A6169" t="s">
        <v>200</v>
      </c>
      <c r="B6169" t="s">
        <v>198</v>
      </c>
      <c r="C6169" t="s">
        <v>228</v>
      </c>
      <c r="D6169" t="s">
        <v>1177</v>
      </c>
      <c r="E6169" s="1">
        <v>2.5000000000000001E-2</v>
      </c>
      <c r="F6169" s="1">
        <v>1.23E-2</v>
      </c>
      <c r="H6169">
        <v>56</v>
      </c>
      <c r="I6169">
        <v>86</v>
      </c>
      <c r="J6169">
        <v>1973</v>
      </c>
    </row>
    <row r="6170" spans="1:10" x14ac:dyDescent="0.25">
      <c r="A6170" t="s">
        <v>200</v>
      </c>
      <c r="B6170" t="s">
        <v>198</v>
      </c>
      <c r="C6170" t="s">
        <v>228</v>
      </c>
      <c r="D6170" t="s">
        <v>1178</v>
      </c>
      <c r="E6170" s="1">
        <v>5.9999999999999995E-4</v>
      </c>
      <c r="H6170">
        <v>56</v>
      </c>
      <c r="I6170">
        <v>86</v>
      </c>
      <c r="J6170">
        <v>1973</v>
      </c>
    </row>
    <row r="6171" spans="1:10" x14ac:dyDescent="0.25">
      <c r="A6171" t="s">
        <v>200</v>
      </c>
      <c r="B6171" t="s">
        <v>198</v>
      </c>
      <c r="C6171" t="s">
        <v>228</v>
      </c>
      <c r="D6171" t="s">
        <v>1166</v>
      </c>
      <c r="E6171" s="1">
        <v>4.1200000000000001E-2</v>
      </c>
      <c r="F6171" s="1">
        <v>0.13170000000000001</v>
      </c>
      <c r="G6171" s="1">
        <v>0.15640000000000001</v>
      </c>
      <c r="H6171">
        <v>56</v>
      </c>
      <c r="I6171">
        <v>86</v>
      </c>
      <c r="J6171">
        <v>1973</v>
      </c>
    </row>
    <row r="6172" spans="1:10" x14ac:dyDescent="0.25">
      <c r="A6172" t="s">
        <v>200</v>
      </c>
      <c r="B6172" t="s">
        <v>198</v>
      </c>
      <c r="C6172" t="s">
        <v>228</v>
      </c>
      <c r="D6172" t="s">
        <v>1170</v>
      </c>
      <c r="E6172" s="1">
        <v>5.9999999999999995E-4</v>
      </c>
      <c r="F6172" s="1">
        <v>1.1900000000000001E-2</v>
      </c>
      <c r="G6172" s="1">
        <v>6.2600000000000003E-2</v>
      </c>
      <c r="H6172">
        <v>56</v>
      </c>
      <c r="I6172">
        <v>86</v>
      </c>
      <c r="J6172">
        <v>1973</v>
      </c>
    </row>
    <row r="6173" spans="1:10" x14ac:dyDescent="0.25">
      <c r="A6173" t="s">
        <v>200</v>
      </c>
      <c r="B6173" t="s">
        <v>198</v>
      </c>
      <c r="C6173" t="s">
        <v>228</v>
      </c>
      <c r="D6173" t="s">
        <v>1172</v>
      </c>
      <c r="E6173" s="1">
        <v>0.44409999999999999</v>
      </c>
      <c r="F6173" s="1">
        <v>0.20749999999999999</v>
      </c>
      <c r="G6173" s="1">
        <v>0.1145</v>
      </c>
      <c r="H6173">
        <v>56</v>
      </c>
      <c r="I6173">
        <v>86</v>
      </c>
      <c r="J6173">
        <v>1973</v>
      </c>
    </row>
    <row r="6174" spans="1:10" x14ac:dyDescent="0.25">
      <c r="A6174" t="s">
        <v>200</v>
      </c>
      <c r="B6174" t="s">
        <v>198</v>
      </c>
      <c r="C6174" t="s">
        <v>228</v>
      </c>
      <c r="D6174" t="s">
        <v>1173</v>
      </c>
      <c r="E6174" s="1">
        <v>0.26840000000000003</v>
      </c>
      <c r="F6174" s="1">
        <v>0.1263</v>
      </c>
      <c r="G6174" s="1">
        <v>2.5100000000000001E-2</v>
      </c>
      <c r="H6174">
        <v>56</v>
      </c>
      <c r="I6174">
        <v>86</v>
      </c>
      <c r="J6174">
        <v>1973</v>
      </c>
    </row>
    <row r="6175" spans="1:10" x14ac:dyDescent="0.25">
      <c r="A6175" t="s">
        <v>200</v>
      </c>
      <c r="B6175" t="s">
        <v>198</v>
      </c>
      <c r="C6175" t="s">
        <v>228</v>
      </c>
      <c r="D6175" t="s">
        <v>235</v>
      </c>
      <c r="E6175" s="1">
        <v>3.7000000000000002E-3</v>
      </c>
      <c r="F6175" s="1">
        <v>2.9399999999999999E-2</v>
      </c>
      <c r="H6175">
        <v>56</v>
      </c>
      <c r="I6175">
        <v>86</v>
      </c>
      <c r="J6175">
        <v>1973</v>
      </c>
    </row>
    <row r="6176" spans="1:10" x14ac:dyDescent="0.25">
      <c r="A6176" t="s">
        <v>200</v>
      </c>
      <c r="B6176" t="s">
        <v>198</v>
      </c>
      <c r="C6176" t="s">
        <v>229</v>
      </c>
      <c r="D6176" t="s">
        <v>1174</v>
      </c>
      <c r="E6176" s="1">
        <v>8.3000000000000001E-3</v>
      </c>
      <c r="F6176" s="1">
        <v>1.43E-2</v>
      </c>
      <c r="G6176" s="1">
        <v>1.8599999999999998E-2</v>
      </c>
      <c r="H6176">
        <v>179</v>
      </c>
      <c r="I6176">
        <v>194</v>
      </c>
      <c r="J6176">
        <v>1973</v>
      </c>
    </row>
    <row r="6177" spans="1:10" x14ac:dyDescent="0.25">
      <c r="A6177" t="s">
        <v>200</v>
      </c>
      <c r="B6177" t="s">
        <v>198</v>
      </c>
      <c r="C6177" t="s">
        <v>229</v>
      </c>
      <c r="D6177" t="s">
        <v>220</v>
      </c>
      <c r="E6177" s="1">
        <v>1.15E-2</v>
      </c>
      <c r="F6177" s="1">
        <v>6.7000000000000004E-2</v>
      </c>
      <c r="G6177" s="1">
        <v>0.10970000000000001</v>
      </c>
      <c r="H6177">
        <v>179</v>
      </c>
      <c r="I6177">
        <v>194</v>
      </c>
      <c r="J6177">
        <v>1973</v>
      </c>
    </row>
    <row r="6178" spans="1:10" x14ac:dyDescent="0.25">
      <c r="A6178" t="s">
        <v>200</v>
      </c>
      <c r="B6178" t="s">
        <v>198</v>
      </c>
      <c r="C6178" t="s">
        <v>229</v>
      </c>
      <c r="D6178" t="s">
        <v>1175</v>
      </c>
      <c r="E6178" s="1">
        <v>1.09E-2</v>
      </c>
      <c r="F6178" s="1">
        <v>6.3200000000000006E-2</v>
      </c>
      <c r="G6178" s="1">
        <v>0.1241</v>
      </c>
      <c r="H6178">
        <v>179</v>
      </c>
      <c r="I6178">
        <v>194</v>
      </c>
      <c r="J6178">
        <v>1973</v>
      </c>
    </row>
    <row r="6179" spans="1:10" x14ac:dyDescent="0.25">
      <c r="A6179" t="s">
        <v>200</v>
      </c>
      <c r="B6179" t="s">
        <v>198</v>
      </c>
      <c r="C6179" t="s">
        <v>229</v>
      </c>
      <c r="D6179" t="s">
        <v>1176</v>
      </c>
      <c r="E6179" s="1">
        <v>3.3E-3</v>
      </c>
      <c r="G6179" s="1">
        <v>8.0000000000000004E-4</v>
      </c>
      <c r="H6179">
        <v>179</v>
      </c>
      <c r="I6179">
        <v>194</v>
      </c>
      <c r="J6179">
        <v>1973</v>
      </c>
    </row>
    <row r="6180" spans="1:10" x14ac:dyDescent="0.25">
      <c r="A6180" t="s">
        <v>200</v>
      </c>
      <c r="B6180" t="s">
        <v>198</v>
      </c>
      <c r="C6180" t="s">
        <v>229</v>
      </c>
      <c r="D6180" t="s">
        <v>1163</v>
      </c>
      <c r="E6180" s="1">
        <v>9.3200000000000005E-2</v>
      </c>
      <c r="F6180" s="1">
        <v>7.5899999999999995E-2</v>
      </c>
      <c r="G6180" s="1">
        <v>7.9000000000000001E-2</v>
      </c>
      <c r="H6180">
        <v>179</v>
      </c>
      <c r="I6180">
        <v>194</v>
      </c>
      <c r="J6180">
        <v>1973</v>
      </c>
    </row>
    <row r="6181" spans="1:10" x14ac:dyDescent="0.25">
      <c r="A6181" t="s">
        <v>200</v>
      </c>
      <c r="B6181" t="s">
        <v>198</v>
      </c>
      <c r="C6181" t="s">
        <v>229</v>
      </c>
      <c r="D6181" t="s">
        <v>1164</v>
      </c>
      <c r="E6181" s="1">
        <v>7.51E-2</v>
      </c>
      <c r="F6181" s="1">
        <v>0.1681</v>
      </c>
      <c r="G6181" s="1">
        <v>0.1202</v>
      </c>
      <c r="H6181">
        <v>179</v>
      </c>
      <c r="I6181">
        <v>194</v>
      </c>
      <c r="J6181">
        <v>1973</v>
      </c>
    </row>
    <row r="6182" spans="1:10" x14ac:dyDescent="0.25">
      <c r="A6182" t="s">
        <v>200</v>
      </c>
      <c r="B6182" t="s">
        <v>198</v>
      </c>
      <c r="C6182" t="s">
        <v>229</v>
      </c>
      <c r="D6182" t="s">
        <v>1165</v>
      </c>
      <c r="E6182" s="1">
        <v>3.8699999999999998E-2</v>
      </c>
      <c r="F6182" s="1">
        <v>9.2100000000000001E-2</v>
      </c>
      <c r="G6182" s="1">
        <v>6.8199999999999997E-2</v>
      </c>
      <c r="H6182">
        <v>179</v>
      </c>
      <c r="I6182">
        <v>194</v>
      </c>
      <c r="J6182">
        <v>1973</v>
      </c>
    </row>
    <row r="6183" spans="1:10" x14ac:dyDescent="0.25">
      <c r="A6183" t="s">
        <v>200</v>
      </c>
      <c r="B6183" t="s">
        <v>198</v>
      </c>
      <c r="C6183" t="s">
        <v>229</v>
      </c>
      <c r="D6183" t="s">
        <v>1179</v>
      </c>
      <c r="E6183" s="1">
        <v>2.0000000000000001E-4</v>
      </c>
      <c r="F6183" s="1">
        <v>2.5000000000000001E-3</v>
      </c>
      <c r="G6183" s="1">
        <v>5.6599999999999998E-2</v>
      </c>
      <c r="H6183">
        <v>179</v>
      </c>
      <c r="I6183">
        <v>194</v>
      </c>
      <c r="J6183">
        <v>1973</v>
      </c>
    </row>
    <row r="6184" spans="1:10" x14ac:dyDescent="0.25">
      <c r="A6184" t="s">
        <v>200</v>
      </c>
      <c r="B6184" t="s">
        <v>198</v>
      </c>
      <c r="C6184" t="s">
        <v>229</v>
      </c>
      <c r="D6184" t="s">
        <v>1166</v>
      </c>
      <c r="E6184" s="1">
        <v>4.6399999999999997E-2</v>
      </c>
      <c r="F6184" s="1">
        <v>0.1043</v>
      </c>
      <c r="G6184" s="1">
        <v>6.9000000000000006E-2</v>
      </c>
      <c r="H6184">
        <v>179</v>
      </c>
      <c r="I6184">
        <v>194</v>
      </c>
      <c r="J6184">
        <v>1973</v>
      </c>
    </row>
    <row r="6185" spans="1:10" x14ac:dyDescent="0.25">
      <c r="A6185" t="s">
        <v>200</v>
      </c>
      <c r="B6185" t="s">
        <v>198</v>
      </c>
      <c r="C6185" t="s">
        <v>229</v>
      </c>
      <c r="D6185" t="s">
        <v>1167</v>
      </c>
      <c r="E6185" s="1">
        <v>8.3000000000000001E-3</v>
      </c>
      <c r="F6185" s="1">
        <v>6.1999999999999998E-3</v>
      </c>
      <c r="H6185">
        <v>179</v>
      </c>
      <c r="I6185">
        <v>194</v>
      </c>
      <c r="J6185">
        <v>1973</v>
      </c>
    </row>
    <row r="6186" spans="1:10" x14ac:dyDescent="0.25">
      <c r="A6186" t="s">
        <v>200</v>
      </c>
      <c r="B6186" t="s">
        <v>198</v>
      </c>
      <c r="C6186" t="s">
        <v>229</v>
      </c>
      <c r="D6186" t="s">
        <v>1168</v>
      </c>
      <c r="E6186" s="1">
        <v>1.7399999999999999E-2</v>
      </c>
      <c r="F6186" s="1">
        <v>5.96E-2</v>
      </c>
      <c r="G6186" s="1">
        <v>3.1399999999999997E-2</v>
      </c>
      <c r="H6186">
        <v>179</v>
      </c>
      <c r="I6186">
        <v>194</v>
      </c>
      <c r="J6186">
        <v>1973</v>
      </c>
    </row>
    <row r="6187" spans="1:10" x14ac:dyDescent="0.25">
      <c r="A6187" t="s">
        <v>200</v>
      </c>
      <c r="B6187" t="s">
        <v>198</v>
      </c>
      <c r="C6187" t="s">
        <v>229</v>
      </c>
      <c r="D6187" t="s">
        <v>1169</v>
      </c>
      <c r="E6187" s="1">
        <v>2.0000000000000001E-4</v>
      </c>
      <c r="H6187">
        <v>179</v>
      </c>
      <c r="I6187">
        <v>194</v>
      </c>
      <c r="J6187">
        <v>1973</v>
      </c>
    </row>
    <row r="6188" spans="1:10" x14ac:dyDescent="0.25">
      <c r="A6188" t="s">
        <v>200</v>
      </c>
      <c r="B6188" t="s">
        <v>198</v>
      </c>
      <c r="C6188" t="s">
        <v>229</v>
      </c>
      <c r="D6188" t="s">
        <v>1170</v>
      </c>
      <c r="E6188" s="1">
        <v>8.3000000000000001E-3</v>
      </c>
      <c r="F6188" s="1">
        <v>2.9999999999999997E-4</v>
      </c>
      <c r="G6188" s="1">
        <v>8.2299999999999998E-2</v>
      </c>
      <c r="H6188">
        <v>179</v>
      </c>
      <c r="I6188">
        <v>194</v>
      </c>
      <c r="J6188">
        <v>1973</v>
      </c>
    </row>
    <row r="6189" spans="1:10" x14ac:dyDescent="0.25">
      <c r="A6189" t="s">
        <v>200</v>
      </c>
      <c r="B6189" t="s">
        <v>198</v>
      </c>
      <c r="C6189" t="s">
        <v>229</v>
      </c>
      <c r="D6189" t="s">
        <v>1180</v>
      </c>
      <c r="E6189" s="1">
        <v>2.0799999999999999E-2</v>
      </c>
      <c r="F6189" s="1">
        <v>3.0099999999999998E-2</v>
      </c>
      <c r="G6189" s="1">
        <v>3.1E-2</v>
      </c>
      <c r="H6189">
        <v>179</v>
      </c>
      <c r="I6189">
        <v>194</v>
      </c>
      <c r="J6189">
        <v>1973</v>
      </c>
    </row>
    <row r="6190" spans="1:10" x14ac:dyDescent="0.25">
      <c r="A6190" t="s">
        <v>200</v>
      </c>
      <c r="B6190" t="s">
        <v>198</v>
      </c>
      <c r="C6190" t="s">
        <v>229</v>
      </c>
      <c r="D6190" t="s">
        <v>1172</v>
      </c>
      <c r="E6190" s="1">
        <v>0.39329999999999998</v>
      </c>
      <c r="F6190" s="1">
        <v>0.26079999999999998</v>
      </c>
      <c r="G6190" s="1">
        <v>0.12839999999999999</v>
      </c>
      <c r="H6190">
        <v>179</v>
      </c>
      <c r="I6190">
        <v>194</v>
      </c>
      <c r="J6190">
        <v>1973</v>
      </c>
    </row>
    <row r="6191" spans="1:10" x14ac:dyDescent="0.25">
      <c r="A6191" t="s">
        <v>200</v>
      </c>
      <c r="B6191" t="s">
        <v>198</v>
      </c>
      <c r="C6191" t="s">
        <v>229</v>
      </c>
      <c r="D6191" t="s">
        <v>1173</v>
      </c>
      <c r="E6191" s="1">
        <v>0.25569999999999998</v>
      </c>
      <c r="F6191" s="1">
        <v>3.5000000000000003E-2</v>
      </c>
      <c r="G6191" s="1">
        <v>5.74E-2</v>
      </c>
      <c r="H6191">
        <v>179</v>
      </c>
      <c r="I6191">
        <v>194</v>
      </c>
      <c r="J6191">
        <v>1973</v>
      </c>
    </row>
    <row r="6192" spans="1:10" x14ac:dyDescent="0.25">
      <c r="A6192" t="s">
        <v>200</v>
      </c>
      <c r="B6192" t="s">
        <v>198</v>
      </c>
      <c r="C6192" t="s">
        <v>229</v>
      </c>
      <c r="D6192" t="s">
        <v>235</v>
      </c>
      <c r="E6192" s="1">
        <v>5.3E-3</v>
      </c>
      <c r="F6192" s="1">
        <v>1.26E-2</v>
      </c>
      <c r="H6192">
        <v>179</v>
      </c>
      <c r="I6192">
        <v>194</v>
      </c>
      <c r="J6192">
        <v>1973</v>
      </c>
    </row>
    <row r="6193" spans="1:10" x14ac:dyDescent="0.25">
      <c r="A6193" t="s">
        <v>200</v>
      </c>
      <c r="B6193" t="s">
        <v>198</v>
      </c>
      <c r="C6193" t="s">
        <v>229</v>
      </c>
      <c r="D6193" t="s">
        <v>215</v>
      </c>
      <c r="E6193" s="1">
        <v>3.0999999999999999E-3</v>
      </c>
      <c r="F6193" s="1">
        <v>2.9999999999999997E-4</v>
      </c>
      <c r="H6193">
        <v>179</v>
      </c>
      <c r="I6193">
        <v>194</v>
      </c>
      <c r="J6193">
        <v>1973</v>
      </c>
    </row>
    <row r="6194" spans="1:10" x14ac:dyDescent="0.25">
      <c r="A6194" t="s">
        <v>201</v>
      </c>
      <c r="B6194" t="s">
        <v>198</v>
      </c>
      <c r="C6194" t="s">
        <v>228</v>
      </c>
      <c r="D6194" t="s">
        <v>220</v>
      </c>
      <c r="E6194" s="1">
        <v>8.6699999999999999E-2</v>
      </c>
      <c r="F6194" s="1">
        <v>3.5000000000000001E-3</v>
      </c>
      <c r="G6194" s="1">
        <v>1.7600000000000001E-2</v>
      </c>
      <c r="H6194">
        <v>18</v>
      </c>
      <c r="I6194">
        <v>71</v>
      </c>
      <c r="J6194">
        <v>1973</v>
      </c>
    </row>
    <row r="6195" spans="1:10" x14ac:dyDescent="0.25">
      <c r="A6195" t="s">
        <v>201</v>
      </c>
      <c r="B6195" t="s">
        <v>198</v>
      </c>
      <c r="C6195" t="s">
        <v>228</v>
      </c>
      <c r="D6195" t="s">
        <v>1176</v>
      </c>
      <c r="E6195" s="1">
        <v>2.9399999999999999E-2</v>
      </c>
      <c r="F6195" s="1">
        <v>3.0700000000000002E-2</v>
      </c>
      <c r="G6195" s="1">
        <v>0.13600000000000001</v>
      </c>
      <c r="H6195">
        <v>18</v>
      </c>
      <c r="I6195">
        <v>71</v>
      </c>
      <c r="J6195">
        <v>1973</v>
      </c>
    </row>
    <row r="6196" spans="1:10" x14ac:dyDescent="0.25">
      <c r="A6196" t="s">
        <v>201</v>
      </c>
      <c r="B6196" t="s">
        <v>198</v>
      </c>
      <c r="C6196" t="s">
        <v>228</v>
      </c>
      <c r="D6196" t="s">
        <v>1163</v>
      </c>
      <c r="E6196" s="1">
        <v>8.6E-3</v>
      </c>
      <c r="F6196" s="1">
        <v>0.1409</v>
      </c>
      <c r="G6196" s="1">
        <v>2.1999999999999999E-2</v>
      </c>
      <c r="H6196">
        <v>18</v>
      </c>
      <c r="I6196">
        <v>71</v>
      </c>
      <c r="J6196">
        <v>1973</v>
      </c>
    </row>
    <row r="6197" spans="1:10" x14ac:dyDescent="0.25">
      <c r="A6197" t="s">
        <v>201</v>
      </c>
      <c r="B6197" t="s">
        <v>198</v>
      </c>
      <c r="C6197" t="s">
        <v>228</v>
      </c>
      <c r="D6197" t="s">
        <v>1181</v>
      </c>
      <c r="E6197" s="1">
        <v>1.9099999999999999E-2</v>
      </c>
      <c r="F6197" s="1">
        <v>3.1899999999999998E-2</v>
      </c>
      <c r="H6197">
        <v>18</v>
      </c>
      <c r="I6197">
        <v>71</v>
      </c>
      <c r="J6197">
        <v>1973</v>
      </c>
    </row>
    <row r="6198" spans="1:10" x14ac:dyDescent="0.25">
      <c r="A6198" t="s">
        <v>201</v>
      </c>
      <c r="B6198" t="s">
        <v>198</v>
      </c>
      <c r="C6198" t="s">
        <v>228</v>
      </c>
      <c r="D6198" t="s">
        <v>1164</v>
      </c>
      <c r="E6198" s="1">
        <v>3.4000000000000002E-2</v>
      </c>
      <c r="F6198" s="1">
        <v>7.6399999999999996E-2</v>
      </c>
      <c r="G6198" s="1">
        <v>1.3899999999999999E-2</v>
      </c>
      <c r="H6198">
        <v>18</v>
      </c>
      <c r="I6198">
        <v>71</v>
      </c>
      <c r="J6198">
        <v>1973</v>
      </c>
    </row>
    <row r="6199" spans="1:10" x14ac:dyDescent="0.25">
      <c r="A6199" t="s">
        <v>201</v>
      </c>
      <c r="B6199" t="s">
        <v>198</v>
      </c>
      <c r="C6199" t="s">
        <v>228</v>
      </c>
      <c r="D6199" t="s">
        <v>1165</v>
      </c>
      <c r="E6199" s="1">
        <v>4.4000000000000003E-3</v>
      </c>
      <c r="F6199" s="1">
        <v>0.11219999999999999</v>
      </c>
      <c r="G6199" s="1">
        <v>4.4999999999999997E-3</v>
      </c>
      <c r="H6199">
        <v>18</v>
      </c>
      <c r="I6199">
        <v>71</v>
      </c>
      <c r="J6199">
        <v>1973</v>
      </c>
    </row>
    <row r="6200" spans="1:10" x14ac:dyDescent="0.25">
      <c r="A6200" t="s">
        <v>201</v>
      </c>
      <c r="B6200" t="s">
        <v>198</v>
      </c>
      <c r="C6200" t="s">
        <v>228</v>
      </c>
      <c r="D6200" t="s">
        <v>1178</v>
      </c>
      <c r="E6200" s="1">
        <v>1.03E-2</v>
      </c>
      <c r="H6200">
        <v>18</v>
      </c>
      <c r="I6200">
        <v>71</v>
      </c>
      <c r="J6200">
        <v>1973</v>
      </c>
    </row>
    <row r="6201" spans="1:10" x14ac:dyDescent="0.25">
      <c r="A6201" t="s">
        <v>201</v>
      </c>
      <c r="B6201" t="s">
        <v>198</v>
      </c>
      <c r="C6201" t="s">
        <v>228</v>
      </c>
      <c r="D6201" t="s">
        <v>1166</v>
      </c>
      <c r="E6201" s="1">
        <v>6.1199999999999997E-2</v>
      </c>
      <c r="F6201" s="1">
        <v>0.19400000000000001</v>
      </c>
      <c r="G6201" s="1">
        <v>0.3135</v>
      </c>
      <c r="H6201">
        <v>18</v>
      </c>
      <c r="I6201">
        <v>71</v>
      </c>
      <c r="J6201">
        <v>1973</v>
      </c>
    </row>
    <row r="6202" spans="1:10" x14ac:dyDescent="0.25">
      <c r="A6202" t="s">
        <v>201</v>
      </c>
      <c r="B6202" t="s">
        <v>198</v>
      </c>
      <c r="C6202" t="s">
        <v>228</v>
      </c>
      <c r="D6202" t="s">
        <v>1170</v>
      </c>
      <c r="E6202" s="1">
        <v>1.03E-2</v>
      </c>
      <c r="F6202" s="1">
        <v>1.0800000000000001E-2</v>
      </c>
      <c r="G6202" s="1">
        <v>2.1999999999999999E-2</v>
      </c>
      <c r="H6202">
        <v>18</v>
      </c>
      <c r="I6202">
        <v>71</v>
      </c>
      <c r="J6202">
        <v>1973</v>
      </c>
    </row>
    <row r="6203" spans="1:10" x14ac:dyDescent="0.25">
      <c r="A6203" t="s">
        <v>201</v>
      </c>
      <c r="B6203" t="s">
        <v>198</v>
      </c>
      <c r="C6203" t="s">
        <v>228</v>
      </c>
      <c r="D6203" t="s">
        <v>1180</v>
      </c>
      <c r="E6203" s="1">
        <v>3.1800000000000002E-2</v>
      </c>
      <c r="H6203">
        <v>18</v>
      </c>
      <c r="I6203">
        <v>71</v>
      </c>
      <c r="J6203">
        <v>1973</v>
      </c>
    </row>
    <row r="6204" spans="1:10" x14ac:dyDescent="0.25">
      <c r="A6204" t="s">
        <v>201</v>
      </c>
      <c r="B6204" t="s">
        <v>198</v>
      </c>
      <c r="C6204" t="s">
        <v>228</v>
      </c>
      <c r="D6204" t="s">
        <v>1172</v>
      </c>
      <c r="E6204" s="1">
        <v>0.57950000000000002</v>
      </c>
      <c r="F6204" s="1">
        <v>7.3599999999999999E-2</v>
      </c>
      <c r="G6204" s="1">
        <v>5.8700000000000002E-2</v>
      </c>
      <c r="H6204">
        <v>18</v>
      </c>
      <c r="I6204">
        <v>71</v>
      </c>
      <c r="J6204">
        <v>1973</v>
      </c>
    </row>
    <row r="6205" spans="1:10" x14ac:dyDescent="0.25">
      <c r="A6205" t="s">
        <v>201</v>
      </c>
      <c r="B6205" t="s">
        <v>198</v>
      </c>
      <c r="C6205" t="s">
        <v>228</v>
      </c>
      <c r="D6205" t="s">
        <v>1173</v>
      </c>
      <c r="E6205" s="1">
        <v>0.12479999999999999</v>
      </c>
      <c r="F6205" s="1">
        <v>2.06E-2</v>
      </c>
      <c r="G6205" s="1">
        <v>4.4999999999999997E-3</v>
      </c>
      <c r="H6205">
        <v>18</v>
      </c>
      <c r="I6205">
        <v>71</v>
      </c>
      <c r="J6205">
        <v>1973</v>
      </c>
    </row>
    <row r="6206" spans="1:10" x14ac:dyDescent="0.25">
      <c r="A6206" t="s">
        <v>201</v>
      </c>
      <c r="B6206" t="s">
        <v>198</v>
      </c>
      <c r="C6206" t="s">
        <v>229</v>
      </c>
      <c r="D6206" t="s">
        <v>1175</v>
      </c>
      <c r="E6206" s="1">
        <v>5.4000000000000003E-3</v>
      </c>
      <c r="F6206" s="1">
        <v>0.12839999999999999</v>
      </c>
      <c r="G6206" s="1">
        <v>5.5100000000000003E-2</v>
      </c>
      <c r="H6206">
        <v>79</v>
      </c>
      <c r="I6206">
        <v>130</v>
      </c>
      <c r="J6206">
        <v>1973</v>
      </c>
    </row>
    <row r="6207" spans="1:10" x14ac:dyDescent="0.25">
      <c r="A6207" t="s">
        <v>201</v>
      </c>
      <c r="B6207" t="s">
        <v>198</v>
      </c>
      <c r="C6207" t="s">
        <v>229</v>
      </c>
      <c r="D6207" t="s">
        <v>1176</v>
      </c>
      <c r="E6207" s="1">
        <v>1.9E-3</v>
      </c>
      <c r="F6207" s="1">
        <v>2.2200000000000001E-2</v>
      </c>
      <c r="G6207" s="1">
        <v>7.1000000000000004E-3</v>
      </c>
      <c r="H6207">
        <v>79</v>
      </c>
      <c r="I6207">
        <v>130</v>
      </c>
      <c r="J6207">
        <v>1973</v>
      </c>
    </row>
    <row r="6208" spans="1:10" x14ac:dyDescent="0.25">
      <c r="A6208" t="s">
        <v>201</v>
      </c>
      <c r="B6208" t="s">
        <v>198</v>
      </c>
      <c r="C6208" t="s">
        <v>229</v>
      </c>
      <c r="D6208" t="s">
        <v>1163</v>
      </c>
      <c r="E6208" s="1">
        <v>0.108</v>
      </c>
      <c r="F6208" s="1">
        <v>0.14050000000000001</v>
      </c>
      <c r="G6208" s="1">
        <v>6.08E-2</v>
      </c>
      <c r="H6208">
        <v>79</v>
      </c>
      <c r="I6208">
        <v>130</v>
      </c>
      <c r="J6208">
        <v>1973</v>
      </c>
    </row>
    <row r="6209" spans="1:10" x14ac:dyDescent="0.25">
      <c r="A6209" t="s">
        <v>201</v>
      </c>
      <c r="B6209" t="s">
        <v>198</v>
      </c>
      <c r="C6209" t="s">
        <v>229</v>
      </c>
      <c r="D6209" t="s">
        <v>1164</v>
      </c>
      <c r="E6209" s="1">
        <v>2.18E-2</v>
      </c>
      <c r="F6209" s="1">
        <v>3.2399999999999998E-2</v>
      </c>
      <c r="G6209" s="1">
        <v>0.15939999999999999</v>
      </c>
      <c r="H6209">
        <v>79</v>
      </c>
      <c r="I6209">
        <v>130</v>
      </c>
      <c r="J6209">
        <v>1973</v>
      </c>
    </row>
    <row r="6210" spans="1:10" x14ac:dyDescent="0.25">
      <c r="A6210" t="s">
        <v>201</v>
      </c>
      <c r="B6210" t="s">
        <v>198</v>
      </c>
      <c r="C6210" t="s">
        <v>229</v>
      </c>
      <c r="D6210" t="s">
        <v>1165</v>
      </c>
      <c r="E6210" s="1">
        <v>2.5700000000000001E-2</v>
      </c>
      <c r="F6210" s="1">
        <v>5.0599999999999999E-2</v>
      </c>
      <c r="G6210" s="1">
        <v>3.4500000000000003E-2</v>
      </c>
      <c r="H6210">
        <v>79</v>
      </c>
      <c r="I6210">
        <v>130</v>
      </c>
      <c r="J6210">
        <v>1973</v>
      </c>
    </row>
    <row r="6211" spans="1:10" x14ac:dyDescent="0.25">
      <c r="A6211" t="s">
        <v>201</v>
      </c>
      <c r="B6211" t="s">
        <v>198</v>
      </c>
      <c r="C6211" t="s">
        <v>229</v>
      </c>
      <c r="D6211" t="s">
        <v>1179</v>
      </c>
      <c r="E6211" s="1">
        <v>1E-3</v>
      </c>
      <c r="F6211" s="1">
        <v>2.1600000000000001E-2</v>
      </c>
      <c r="H6211">
        <v>79</v>
      </c>
      <c r="I6211">
        <v>130</v>
      </c>
      <c r="J6211">
        <v>1973</v>
      </c>
    </row>
    <row r="6212" spans="1:10" x14ac:dyDescent="0.25">
      <c r="A6212" t="s">
        <v>201</v>
      </c>
      <c r="B6212" t="s">
        <v>198</v>
      </c>
      <c r="C6212" t="s">
        <v>229</v>
      </c>
      <c r="D6212" t="s">
        <v>1166</v>
      </c>
      <c r="E6212" s="1">
        <v>4.9500000000000002E-2</v>
      </c>
      <c r="F6212" s="1">
        <v>0.12479999999999999</v>
      </c>
      <c r="G6212" s="1">
        <v>0.13950000000000001</v>
      </c>
      <c r="H6212">
        <v>79</v>
      </c>
      <c r="I6212">
        <v>130</v>
      </c>
      <c r="J6212">
        <v>1973</v>
      </c>
    </row>
    <row r="6213" spans="1:10" x14ac:dyDescent="0.25">
      <c r="A6213" t="s">
        <v>201</v>
      </c>
      <c r="B6213" t="s">
        <v>198</v>
      </c>
      <c r="C6213" t="s">
        <v>229</v>
      </c>
      <c r="D6213" t="s">
        <v>1168</v>
      </c>
      <c r="E6213" s="1">
        <v>5.2299999999999999E-2</v>
      </c>
      <c r="F6213" s="1">
        <v>8.0100000000000005E-2</v>
      </c>
      <c r="G6213" s="1">
        <v>0.1142</v>
      </c>
      <c r="H6213">
        <v>79</v>
      </c>
      <c r="I6213">
        <v>130</v>
      </c>
      <c r="J6213">
        <v>1973</v>
      </c>
    </row>
    <row r="6214" spans="1:10" x14ac:dyDescent="0.25">
      <c r="A6214" t="s">
        <v>201</v>
      </c>
      <c r="B6214" t="s">
        <v>198</v>
      </c>
      <c r="C6214" t="s">
        <v>229</v>
      </c>
      <c r="D6214" t="s">
        <v>1170</v>
      </c>
      <c r="E6214" s="1">
        <v>1E-3</v>
      </c>
      <c r="F6214" s="1">
        <v>4.58E-2</v>
      </c>
      <c r="G6214" s="1">
        <v>1.6500000000000001E-2</v>
      </c>
      <c r="H6214">
        <v>79</v>
      </c>
      <c r="I6214">
        <v>130</v>
      </c>
      <c r="J6214">
        <v>1973</v>
      </c>
    </row>
    <row r="6215" spans="1:10" x14ac:dyDescent="0.25">
      <c r="A6215" t="s">
        <v>201</v>
      </c>
      <c r="B6215" t="s">
        <v>198</v>
      </c>
      <c r="C6215" t="s">
        <v>229</v>
      </c>
      <c r="D6215" t="s">
        <v>1172</v>
      </c>
      <c r="E6215" s="1">
        <v>0.49209999999999998</v>
      </c>
      <c r="F6215" s="1">
        <v>0.1794</v>
      </c>
      <c r="G6215" s="1">
        <v>9.7600000000000006E-2</v>
      </c>
      <c r="H6215">
        <v>79</v>
      </c>
      <c r="I6215">
        <v>130</v>
      </c>
      <c r="J6215">
        <v>1973</v>
      </c>
    </row>
    <row r="6216" spans="1:10" x14ac:dyDescent="0.25">
      <c r="A6216" t="s">
        <v>201</v>
      </c>
      <c r="B6216" t="s">
        <v>198</v>
      </c>
      <c r="C6216" t="s">
        <v>229</v>
      </c>
      <c r="D6216" t="s">
        <v>1173</v>
      </c>
      <c r="E6216" s="1">
        <v>0.2402</v>
      </c>
      <c r="F6216" s="1">
        <v>6.9599999999999995E-2</v>
      </c>
      <c r="G6216" s="1">
        <v>2.5000000000000001E-3</v>
      </c>
      <c r="H6216">
        <v>79</v>
      </c>
      <c r="I6216">
        <v>130</v>
      </c>
      <c r="J6216">
        <v>1973</v>
      </c>
    </row>
    <row r="6217" spans="1:10" x14ac:dyDescent="0.25">
      <c r="A6217" t="s">
        <v>201</v>
      </c>
      <c r="B6217" t="s">
        <v>198</v>
      </c>
      <c r="C6217" t="s">
        <v>229</v>
      </c>
      <c r="D6217" t="s">
        <v>215</v>
      </c>
      <c r="E6217" s="1">
        <v>1E-3</v>
      </c>
      <c r="H6217">
        <v>79</v>
      </c>
      <c r="I6217">
        <v>130</v>
      </c>
      <c r="J6217">
        <v>1973</v>
      </c>
    </row>
    <row r="6218" spans="1:10" s="29" customFormat="1" x14ac:dyDescent="0.25">
      <c r="A6218" s="29" t="s">
        <v>202</v>
      </c>
      <c r="B6218" s="29" t="s">
        <v>198</v>
      </c>
      <c r="C6218" s="29" t="s">
        <v>228</v>
      </c>
      <c r="D6218" s="29" t="s">
        <v>1176</v>
      </c>
      <c r="E6218" s="30">
        <v>1.2999999999999999E-2</v>
      </c>
      <c r="F6218" s="30">
        <v>0.1096</v>
      </c>
      <c r="H6218" s="29">
        <v>48</v>
      </c>
      <c r="I6218" s="29">
        <v>24</v>
      </c>
      <c r="J6218" s="29">
        <v>1973</v>
      </c>
    </row>
    <row r="6219" spans="1:10" s="29" customFormat="1" x14ac:dyDescent="0.25">
      <c r="A6219" s="29" t="s">
        <v>202</v>
      </c>
      <c r="B6219" s="29" t="s">
        <v>198</v>
      </c>
      <c r="C6219" s="29" t="s">
        <v>228</v>
      </c>
      <c r="D6219" s="29" t="s">
        <v>1164</v>
      </c>
      <c r="E6219" s="30">
        <v>7.8E-2</v>
      </c>
      <c r="F6219" s="30">
        <v>0.1323</v>
      </c>
      <c r="G6219" s="30">
        <v>0.1132</v>
      </c>
      <c r="H6219" s="29">
        <v>48</v>
      </c>
      <c r="I6219" s="29">
        <v>24</v>
      </c>
      <c r="J6219" s="29">
        <v>1973</v>
      </c>
    </row>
    <row r="6220" spans="1:10" s="29" customFormat="1" x14ac:dyDescent="0.25">
      <c r="A6220" s="29" t="s">
        <v>202</v>
      </c>
      <c r="B6220" s="29" t="s">
        <v>198</v>
      </c>
      <c r="C6220" s="29" t="s">
        <v>228</v>
      </c>
      <c r="D6220" s="29" t="s">
        <v>1179</v>
      </c>
      <c r="E6220" s="30">
        <v>1.2999999999999999E-2</v>
      </c>
      <c r="H6220" s="29">
        <v>48</v>
      </c>
      <c r="I6220" s="29">
        <v>24</v>
      </c>
      <c r="J6220" s="29">
        <v>1973</v>
      </c>
    </row>
    <row r="6221" spans="1:10" s="29" customFormat="1" x14ac:dyDescent="0.25">
      <c r="A6221" s="29" t="s">
        <v>202</v>
      </c>
      <c r="B6221" s="29" t="s">
        <v>198</v>
      </c>
      <c r="C6221" s="29" t="s">
        <v>228</v>
      </c>
      <c r="D6221" s="29" t="s">
        <v>1166</v>
      </c>
      <c r="E6221" s="30">
        <v>1.2999999999999999E-2</v>
      </c>
      <c r="F6221" s="30">
        <v>0.36159999999999998</v>
      </c>
      <c r="G6221" s="30">
        <v>0.11650000000000001</v>
      </c>
      <c r="H6221" s="29">
        <v>48</v>
      </c>
      <c r="I6221" s="29">
        <v>24</v>
      </c>
      <c r="J6221" s="29">
        <v>1973</v>
      </c>
    </row>
    <row r="6222" spans="1:10" s="29" customFormat="1" x14ac:dyDescent="0.25">
      <c r="A6222" s="29" t="s">
        <v>202</v>
      </c>
      <c r="B6222" s="29" t="s">
        <v>198</v>
      </c>
      <c r="C6222" s="29" t="s">
        <v>228</v>
      </c>
      <c r="D6222" s="29" t="s">
        <v>1168</v>
      </c>
      <c r="E6222" s="30">
        <v>8.2500000000000004E-2</v>
      </c>
      <c r="F6222" s="30">
        <v>7.9899999999999999E-2</v>
      </c>
      <c r="G6222" s="30">
        <v>0.1573</v>
      </c>
      <c r="H6222" s="29">
        <v>48</v>
      </c>
      <c r="I6222" s="29">
        <v>24</v>
      </c>
      <c r="J6222" s="29">
        <v>1973</v>
      </c>
    </row>
    <row r="6223" spans="1:10" s="29" customFormat="1" x14ac:dyDescent="0.25">
      <c r="A6223" s="29" t="s">
        <v>202</v>
      </c>
      <c r="B6223" s="29" t="s">
        <v>198</v>
      </c>
      <c r="C6223" s="29" t="s">
        <v>228</v>
      </c>
      <c r="D6223" s="29" t="s">
        <v>1172</v>
      </c>
      <c r="E6223" s="30">
        <v>0.61990000000000001</v>
      </c>
      <c r="F6223" s="30">
        <v>8.9499999999999996E-2</v>
      </c>
      <c r="G6223" s="30">
        <v>0.11650000000000001</v>
      </c>
      <c r="H6223" s="29">
        <v>48</v>
      </c>
      <c r="I6223" s="29">
        <v>24</v>
      </c>
      <c r="J6223" s="29">
        <v>1973</v>
      </c>
    </row>
    <row r="6224" spans="1:10" s="29" customFormat="1" x14ac:dyDescent="0.25">
      <c r="A6224" s="29" t="s">
        <v>202</v>
      </c>
      <c r="B6224" s="29" t="s">
        <v>198</v>
      </c>
      <c r="C6224" s="29" t="s">
        <v>228</v>
      </c>
      <c r="D6224" s="29" t="s">
        <v>1173</v>
      </c>
      <c r="E6224" s="30">
        <v>5.1799999999999999E-2</v>
      </c>
      <c r="H6224" s="29">
        <v>48</v>
      </c>
      <c r="I6224" s="29">
        <v>24</v>
      </c>
      <c r="J6224" s="29">
        <v>1973</v>
      </c>
    </row>
    <row r="6225" spans="1:10" s="29" customFormat="1" x14ac:dyDescent="0.25">
      <c r="A6225" s="29" t="s">
        <v>202</v>
      </c>
      <c r="B6225" s="29" t="s">
        <v>198</v>
      </c>
      <c r="C6225" s="29" t="s">
        <v>228</v>
      </c>
      <c r="D6225" s="29" t="s">
        <v>215</v>
      </c>
      <c r="E6225" s="30">
        <v>0.12889999999999999</v>
      </c>
      <c r="H6225" s="29">
        <v>48</v>
      </c>
      <c r="I6225" s="29">
        <v>24</v>
      </c>
      <c r="J6225" s="29">
        <v>1973</v>
      </c>
    </row>
    <row r="6226" spans="1:10" x14ac:dyDescent="0.25">
      <c r="A6226" t="s">
        <v>202</v>
      </c>
      <c r="B6226" t="s">
        <v>198</v>
      </c>
      <c r="C6226" t="s">
        <v>229</v>
      </c>
      <c r="D6226" t="s">
        <v>1175</v>
      </c>
      <c r="E6226" s="1">
        <v>4.1999999999999997E-3</v>
      </c>
      <c r="F6226" s="1">
        <v>9.5000000000000001E-2</v>
      </c>
      <c r="G6226" s="1">
        <v>7.9000000000000001E-2</v>
      </c>
      <c r="H6226">
        <v>149</v>
      </c>
      <c r="I6226">
        <v>56</v>
      </c>
      <c r="J6226">
        <v>1973</v>
      </c>
    </row>
    <row r="6227" spans="1:10" x14ac:dyDescent="0.25">
      <c r="A6227" t="s">
        <v>202</v>
      </c>
      <c r="B6227" t="s">
        <v>198</v>
      </c>
      <c r="C6227" t="s">
        <v>229</v>
      </c>
      <c r="D6227" t="s">
        <v>1163</v>
      </c>
      <c r="E6227" s="1">
        <v>0.06</v>
      </c>
      <c r="F6227" s="1">
        <v>3.1699999999999999E-2</v>
      </c>
      <c r="G6227" s="1">
        <v>4.1799999999999997E-2</v>
      </c>
      <c r="H6227">
        <v>149</v>
      </c>
      <c r="I6227">
        <v>56</v>
      </c>
      <c r="J6227">
        <v>1973</v>
      </c>
    </row>
    <row r="6228" spans="1:10" x14ac:dyDescent="0.25">
      <c r="A6228" t="s">
        <v>202</v>
      </c>
      <c r="B6228" t="s">
        <v>198</v>
      </c>
      <c r="C6228" t="s">
        <v>229</v>
      </c>
      <c r="D6228" t="s">
        <v>1164</v>
      </c>
      <c r="E6228" s="1">
        <v>3.8600000000000002E-2</v>
      </c>
      <c r="F6228" s="1">
        <v>0.18010000000000001</v>
      </c>
      <c r="G6228" s="1">
        <v>0.32169999999999999</v>
      </c>
      <c r="H6228">
        <v>149</v>
      </c>
      <c r="I6228">
        <v>56</v>
      </c>
      <c r="J6228">
        <v>1973</v>
      </c>
    </row>
    <row r="6229" spans="1:10" x14ac:dyDescent="0.25">
      <c r="A6229" t="s">
        <v>202</v>
      </c>
      <c r="B6229" t="s">
        <v>198</v>
      </c>
      <c r="C6229" t="s">
        <v>229</v>
      </c>
      <c r="D6229" t="s">
        <v>1177</v>
      </c>
      <c r="E6229" s="1">
        <v>2.2599999999999999E-2</v>
      </c>
      <c r="H6229">
        <v>149</v>
      </c>
      <c r="I6229">
        <v>56</v>
      </c>
      <c r="J6229">
        <v>1973</v>
      </c>
    </row>
    <row r="6230" spans="1:10" x14ac:dyDescent="0.25">
      <c r="A6230" t="s">
        <v>202</v>
      </c>
      <c r="B6230" t="s">
        <v>198</v>
      </c>
      <c r="C6230" t="s">
        <v>229</v>
      </c>
      <c r="D6230" t="s">
        <v>1179</v>
      </c>
      <c r="E6230" s="1">
        <v>5.21E-2</v>
      </c>
      <c r="F6230" s="1">
        <v>2.8199999999999999E-2</v>
      </c>
      <c r="H6230">
        <v>149</v>
      </c>
      <c r="I6230">
        <v>56</v>
      </c>
      <c r="J6230">
        <v>1973</v>
      </c>
    </row>
    <row r="6231" spans="1:10" x14ac:dyDescent="0.25">
      <c r="A6231" t="s">
        <v>202</v>
      </c>
      <c r="B6231" t="s">
        <v>198</v>
      </c>
      <c r="C6231" t="s">
        <v>229</v>
      </c>
      <c r="D6231" t="s">
        <v>1166</v>
      </c>
      <c r="E6231" s="1">
        <v>4.1799999999999997E-2</v>
      </c>
      <c r="F6231" s="1">
        <v>0.156</v>
      </c>
      <c r="G6231" s="1">
        <v>6.88E-2</v>
      </c>
      <c r="H6231">
        <v>149</v>
      </c>
      <c r="I6231">
        <v>56</v>
      </c>
      <c r="J6231">
        <v>1973</v>
      </c>
    </row>
    <row r="6232" spans="1:10" x14ac:dyDescent="0.25">
      <c r="A6232" t="s">
        <v>202</v>
      </c>
      <c r="B6232" t="s">
        <v>198</v>
      </c>
      <c r="C6232" t="s">
        <v>229</v>
      </c>
      <c r="D6232" t="s">
        <v>1168</v>
      </c>
      <c r="E6232" s="1">
        <v>4.1999999999999997E-3</v>
      </c>
      <c r="F6232" s="1">
        <v>5.7599999999999998E-2</v>
      </c>
      <c r="G6232" s="1">
        <v>0.12670000000000001</v>
      </c>
      <c r="H6232">
        <v>149</v>
      </c>
      <c r="I6232">
        <v>56</v>
      </c>
      <c r="J6232">
        <v>1973</v>
      </c>
    </row>
    <row r="6233" spans="1:10" x14ac:dyDescent="0.25">
      <c r="A6233" t="s">
        <v>202</v>
      </c>
      <c r="B6233" t="s">
        <v>198</v>
      </c>
      <c r="C6233" t="s">
        <v>229</v>
      </c>
      <c r="D6233" t="s">
        <v>1169</v>
      </c>
      <c r="E6233" s="1">
        <v>2.53E-2</v>
      </c>
      <c r="H6233">
        <v>149</v>
      </c>
      <c r="I6233">
        <v>56</v>
      </c>
      <c r="J6233">
        <v>1973</v>
      </c>
    </row>
    <row r="6234" spans="1:10" x14ac:dyDescent="0.25">
      <c r="A6234" t="s">
        <v>202</v>
      </c>
      <c r="B6234" t="s">
        <v>198</v>
      </c>
      <c r="C6234" t="s">
        <v>229</v>
      </c>
      <c r="D6234" t="s">
        <v>1180</v>
      </c>
      <c r="E6234" s="1">
        <v>2.2599999999999999E-2</v>
      </c>
      <c r="F6234" s="1">
        <v>1.9699999999999999E-2</v>
      </c>
      <c r="G6234" s="1">
        <v>4.6100000000000002E-2</v>
      </c>
      <c r="H6234">
        <v>149</v>
      </c>
      <c r="I6234">
        <v>56</v>
      </c>
      <c r="J6234">
        <v>1973</v>
      </c>
    </row>
    <row r="6235" spans="1:10" x14ac:dyDescent="0.25">
      <c r="A6235" t="s">
        <v>202</v>
      </c>
      <c r="B6235" t="s">
        <v>198</v>
      </c>
      <c r="C6235" t="s">
        <v>229</v>
      </c>
      <c r="D6235" t="s">
        <v>1172</v>
      </c>
      <c r="E6235" s="1">
        <v>0.55669999999999997</v>
      </c>
      <c r="F6235" s="1">
        <v>7.3800000000000004E-2</v>
      </c>
      <c r="G6235" s="1">
        <v>2.7300000000000001E-2</v>
      </c>
      <c r="H6235">
        <v>149</v>
      </c>
      <c r="I6235">
        <v>56</v>
      </c>
      <c r="J6235">
        <v>1973</v>
      </c>
    </row>
    <row r="6236" spans="1:10" x14ac:dyDescent="0.25">
      <c r="A6236" t="s">
        <v>202</v>
      </c>
      <c r="B6236" t="s">
        <v>198</v>
      </c>
      <c r="C6236" t="s">
        <v>229</v>
      </c>
      <c r="D6236" t="s">
        <v>1173</v>
      </c>
      <c r="E6236" s="1">
        <v>0.15609999999999999</v>
      </c>
      <c r="F6236" s="1">
        <v>0.18859999999999999</v>
      </c>
      <c r="G6236" s="1">
        <v>2.46E-2</v>
      </c>
      <c r="H6236">
        <v>149</v>
      </c>
      <c r="I6236">
        <v>56</v>
      </c>
      <c r="J6236">
        <v>1973</v>
      </c>
    </row>
    <row r="6237" spans="1:10" x14ac:dyDescent="0.25">
      <c r="A6237" t="s">
        <v>202</v>
      </c>
      <c r="B6237" t="s">
        <v>198</v>
      </c>
      <c r="C6237" t="s">
        <v>229</v>
      </c>
      <c r="D6237" t="s">
        <v>215</v>
      </c>
      <c r="E6237" s="1">
        <v>1.5699999999999999E-2</v>
      </c>
      <c r="G6237" s="1">
        <v>6.6E-3</v>
      </c>
      <c r="H6237">
        <v>149</v>
      </c>
      <c r="I6237">
        <v>56</v>
      </c>
      <c r="J6237">
        <v>1973</v>
      </c>
    </row>
    <row r="6238" spans="1:10" x14ac:dyDescent="0.25">
      <c r="A6238" t="s">
        <v>199</v>
      </c>
      <c r="B6238" t="s">
        <v>203</v>
      </c>
      <c r="C6238" t="s">
        <v>228</v>
      </c>
      <c r="D6238" t="s">
        <v>1174</v>
      </c>
      <c r="E6238" s="1">
        <v>1.46E-2</v>
      </c>
      <c r="F6238" s="1">
        <v>2.3099999999999999E-2</v>
      </c>
      <c r="G6238" s="1">
        <v>4.1999999999999997E-3</v>
      </c>
      <c r="H6238">
        <v>31</v>
      </c>
      <c r="I6238">
        <v>115</v>
      </c>
      <c r="J6238">
        <v>1973</v>
      </c>
    </row>
    <row r="6239" spans="1:10" x14ac:dyDescent="0.25">
      <c r="A6239" t="s">
        <v>199</v>
      </c>
      <c r="B6239" t="s">
        <v>203</v>
      </c>
      <c r="C6239" t="s">
        <v>228</v>
      </c>
      <c r="D6239" t="s">
        <v>220</v>
      </c>
      <c r="E6239" s="1">
        <v>5.5999999999999999E-3</v>
      </c>
      <c r="F6239" s="1">
        <v>4.0399999999999998E-2</v>
      </c>
      <c r="G6239" s="1">
        <v>6.8599999999999994E-2</v>
      </c>
      <c r="H6239">
        <v>31</v>
      </c>
      <c r="I6239">
        <v>115</v>
      </c>
      <c r="J6239">
        <v>1973</v>
      </c>
    </row>
    <row r="6240" spans="1:10" x14ac:dyDescent="0.25">
      <c r="A6240" t="s">
        <v>199</v>
      </c>
      <c r="B6240" t="s">
        <v>203</v>
      </c>
      <c r="C6240" t="s">
        <v>228</v>
      </c>
      <c r="D6240" t="s">
        <v>1175</v>
      </c>
      <c r="E6240" s="1">
        <v>4.8800000000000003E-2</v>
      </c>
      <c r="F6240" s="1">
        <v>0.18049999999999999</v>
      </c>
      <c r="G6240" s="1">
        <v>0.1865</v>
      </c>
      <c r="H6240">
        <v>31</v>
      </c>
      <c r="I6240">
        <v>115</v>
      </c>
      <c r="J6240">
        <v>1973</v>
      </c>
    </row>
    <row r="6241" spans="1:10" x14ac:dyDescent="0.25">
      <c r="A6241" t="s">
        <v>199</v>
      </c>
      <c r="B6241" t="s">
        <v>203</v>
      </c>
      <c r="C6241" t="s">
        <v>228</v>
      </c>
      <c r="D6241" t="s">
        <v>1176</v>
      </c>
      <c r="E6241" s="1">
        <v>1.7899999999999999E-2</v>
      </c>
      <c r="F6241" s="1">
        <v>1.03E-2</v>
      </c>
      <c r="G6241" s="1">
        <v>3.27E-2</v>
      </c>
      <c r="H6241">
        <v>31</v>
      </c>
      <c r="I6241">
        <v>115</v>
      </c>
      <c r="J6241">
        <v>1973</v>
      </c>
    </row>
    <row r="6242" spans="1:10" x14ac:dyDescent="0.25">
      <c r="A6242" t="s">
        <v>199</v>
      </c>
      <c r="B6242" t="s">
        <v>203</v>
      </c>
      <c r="C6242" t="s">
        <v>228</v>
      </c>
      <c r="D6242" t="s">
        <v>1163</v>
      </c>
      <c r="E6242" s="1">
        <v>2.1999999999999999E-2</v>
      </c>
      <c r="F6242" s="1">
        <v>1.5599999999999999E-2</v>
      </c>
      <c r="G6242" s="1">
        <v>2.93E-2</v>
      </c>
      <c r="H6242">
        <v>31</v>
      </c>
      <c r="I6242">
        <v>115</v>
      </c>
      <c r="J6242">
        <v>1973</v>
      </c>
    </row>
    <row r="6243" spans="1:10" x14ac:dyDescent="0.25">
      <c r="A6243" t="s">
        <v>199</v>
      </c>
      <c r="B6243" t="s">
        <v>203</v>
      </c>
      <c r="C6243" t="s">
        <v>228</v>
      </c>
      <c r="D6243" t="s">
        <v>1164</v>
      </c>
      <c r="E6243" s="1">
        <v>0.1336</v>
      </c>
      <c r="F6243" s="1">
        <v>0.1091</v>
      </c>
      <c r="G6243" s="1">
        <v>0.21240000000000001</v>
      </c>
      <c r="H6243">
        <v>31</v>
      </c>
      <c r="I6243">
        <v>115</v>
      </c>
      <c r="J6243">
        <v>1973</v>
      </c>
    </row>
    <row r="6244" spans="1:10" x14ac:dyDescent="0.25">
      <c r="A6244" t="s">
        <v>199</v>
      </c>
      <c r="B6244" t="s">
        <v>203</v>
      </c>
      <c r="C6244" t="s">
        <v>228</v>
      </c>
      <c r="D6244" t="s">
        <v>1165</v>
      </c>
      <c r="E6244" s="1">
        <v>1.1599999999999999E-2</v>
      </c>
      <c r="F6244" s="1">
        <v>5.79E-2</v>
      </c>
      <c r="H6244">
        <v>31</v>
      </c>
      <c r="I6244">
        <v>115</v>
      </c>
      <c r="J6244">
        <v>1973</v>
      </c>
    </row>
    <row r="6245" spans="1:10" x14ac:dyDescent="0.25">
      <c r="A6245" t="s">
        <v>199</v>
      </c>
      <c r="B6245" t="s">
        <v>203</v>
      </c>
      <c r="C6245" t="s">
        <v>228</v>
      </c>
      <c r="D6245" t="s">
        <v>1177</v>
      </c>
      <c r="E6245" s="1">
        <v>1.2200000000000001E-2</v>
      </c>
      <c r="F6245" s="1">
        <v>3.2199999999999999E-2</v>
      </c>
      <c r="G6245" s="1">
        <v>9.9000000000000008E-3</v>
      </c>
      <c r="H6245">
        <v>31</v>
      </c>
      <c r="I6245">
        <v>115</v>
      </c>
      <c r="J6245">
        <v>1973</v>
      </c>
    </row>
    <row r="6246" spans="1:10" x14ac:dyDescent="0.25">
      <c r="A6246" t="s">
        <v>199</v>
      </c>
      <c r="B6246" t="s">
        <v>203</v>
      </c>
      <c r="C6246" t="s">
        <v>228</v>
      </c>
      <c r="D6246" t="s">
        <v>1179</v>
      </c>
      <c r="E6246" s="1">
        <v>5.5999999999999999E-3</v>
      </c>
      <c r="F6246" s="1">
        <v>2.64E-2</v>
      </c>
      <c r="G6246" s="1">
        <v>1.2999999999999999E-2</v>
      </c>
      <c r="H6246">
        <v>31</v>
      </c>
      <c r="I6246">
        <v>115</v>
      </c>
      <c r="J6246">
        <v>1973</v>
      </c>
    </row>
    <row r="6247" spans="1:10" x14ac:dyDescent="0.25">
      <c r="A6247" t="s">
        <v>199</v>
      </c>
      <c r="B6247" t="s">
        <v>203</v>
      </c>
      <c r="C6247" t="s">
        <v>228</v>
      </c>
      <c r="D6247" t="s">
        <v>1166</v>
      </c>
      <c r="E6247" s="1">
        <v>2.3E-3</v>
      </c>
      <c r="F6247" s="1">
        <v>6.0199999999999997E-2</v>
      </c>
      <c r="G6247" s="1">
        <v>5.9299999999999999E-2</v>
      </c>
      <c r="H6247">
        <v>31</v>
      </c>
      <c r="I6247">
        <v>115</v>
      </c>
      <c r="J6247">
        <v>1973</v>
      </c>
    </row>
    <row r="6248" spans="1:10" x14ac:dyDescent="0.25">
      <c r="A6248" t="s">
        <v>199</v>
      </c>
      <c r="B6248" t="s">
        <v>203</v>
      </c>
      <c r="C6248" t="s">
        <v>228</v>
      </c>
      <c r="D6248" t="s">
        <v>1167</v>
      </c>
      <c r="E6248" s="1">
        <v>5.5999999999999999E-3</v>
      </c>
      <c r="G6248" s="1">
        <v>3.7000000000000002E-3</v>
      </c>
      <c r="H6248">
        <v>31</v>
      </c>
      <c r="I6248">
        <v>115</v>
      </c>
      <c r="J6248">
        <v>1973</v>
      </c>
    </row>
    <row r="6249" spans="1:10" x14ac:dyDescent="0.25">
      <c r="A6249" t="s">
        <v>199</v>
      </c>
      <c r="B6249" t="s">
        <v>203</v>
      </c>
      <c r="C6249" t="s">
        <v>228</v>
      </c>
      <c r="D6249" t="s">
        <v>1168</v>
      </c>
      <c r="E6249" s="1">
        <v>1.0999999999999999E-2</v>
      </c>
      <c r="F6249" s="1">
        <v>2.8500000000000001E-2</v>
      </c>
      <c r="G6249" s="1">
        <v>1.0699999999999999E-2</v>
      </c>
      <c r="H6249">
        <v>31</v>
      </c>
      <c r="I6249">
        <v>115</v>
      </c>
      <c r="J6249">
        <v>1973</v>
      </c>
    </row>
    <row r="6250" spans="1:10" x14ac:dyDescent="0.25">
      <c r="A6250" t="s">
        <v>199</v>
      </c>
      <c r="B6250" t="s">
        <v>203</v>
      </c>
      <c r="C6250" t="s">
        <v>228</v>
      </c>
      <c r="D6250" t="s">
        <v>1171</v>
      </c>
      <c r="E6250" s="1">
        <v>5.5999999999999999E-3</v>
      </c>
      <c r="G6250" s="1">
        <v>0.16589999999999999</v>
      </c>
      <c r="H6250">
        <v>31</v>
      </c>
      <c r="I6250">
        <v>115</v>
      </c>
      <c r="J6250">
        <v>1973</v>
      </c>
    </row>
    <row r="6251" spans="1:10" x14ac:dyDescent="0.25">
      <c r="A6251" t="s">
        <v>199</v>
      </c>
      <c r="B6251" t="s">
        <v>203</v>
      </c>
      <c r="C6251" t="s">
        <v>228</v>
      </c>
      <c r="D6251" t="s">
        <v>1172</v>
      </c>
      <c r="E6251" s="1">
        <v>0.3952</v>
      </c>
      <c r="F6251" s="1">
        <v>0.19819999999999999</v>
      </c>
      <c r="G6251" s="1">
        <v>2.1700000000000001E-2</v>
      </c>
      <c r="H6251">
        <v>31</v>
      </c>
      <c r="I6251">
        <v>115</v>
      </c>
      <c r="J6251">
        <v>1973</v>
      </c>
    </row>
    <row r="6252" spans="1:10" x14ac:dyDescent="0.25">
      <c r="A6252" t="s">
        <v>199</v>
      </c>
      <c r="B6252" t="s">
        <v>203</v>
      </c>
      <c r="C6252" t="s">
        <v>228</v>
      </c>
      <c r="D6252" t="s">
        <v>1173</v>
      </c>
      <c r="E6252" s="1">
        <v>0.30840000000000001</v>
      </c>
      <c r="F6252" s="1">
        <v>0.2026</v>
      </c>
      <c r="G6252" s="1">
        <v>5.8500000000000003E-2</v>
      </c>
      <c r="H6252">
        <v>31</v>
      </c>
      <c r="I6252">
        <v>115</v>
      </c>
      <c r="J6252">
        <v>1973</v>
      </c>
    </row>
    <row r="6253" spans="1:10" x14ac:dyDescent="0.25">
      <c r="A6253" t="s">
        <v>199</v>
      </c>
      <c r="B6253" t="s">
        <v>203</v>
      </c>
      <c r="C6253" t="s">
        <v>229</v>
      </c>
      <c r="D6253" t="s">
        <v>1174</v>
      </c>
      <c r="E6253" s="1">
        <v>1.6299999999999999E-2</v>
      </c>
      <c r="F6253" s="1">
        <v>4.9599999999999998E-2</v>
      </c>
      <c r="G6253" s="1">
        <v>0.1052</v>
      </c>
      <c r="H6253">
        <v>265</v>
      </c>
      <c r="I6253">
        <v>291</v>
      </c>
      <c r="J6253">
        <v>1973</v>
      </c>
    </row>
    <row r="6254" spans="1:10" x14ac:dyDescent="0.25">
      <c r="A6254" t="s">
        <v>199</v>
      </c>
      <c r="B6254" t="s">
        <v>203</v>
      </c>
      <c r="C6254" t="s">
        <v>229</v>
      </c>
      <c r="D6254" t="s">
        <v>220</v>
      </c>
      <c r="E6254" s="1">
        <v>2.0999999999999999E-3</v>
      </c>
      <c r="F6254" s="1">
        <v>1.35E-2</v>
      </c>
      <c r="G6254" s="1">
        <v>3.9800000000000002E-2</v>
      </c>
      <c r="H6254">
        <v>265</v>
      </c>
      <c r="I6254">
        <v>291</v>
      </c>
      <c r="J6254">
        <v>1973</v>
      </c>
    </row>
    <row r="6255" spans="1:10" x14ac:dyDescent="0.25">
      <c r="A6255" t="s">
        <v>199</v>
      </c>
      <c r="B6255" t="s">
        <v>203</v>
      </c>
      <c r="C6255" t="s">
        <v>229</v>
      </c>
      <c r="D6255" t="s">
        <v>1175</v>
      </c>
      <c r="E6255" s="1">
        <v>1.38E-2</v>
      </c>
      <c r="F6255" s="1">
        <v>0.16969999999999999</v>
      </c>
      <c r="G6255" s="1">
        <v>0.1643</v>
      </c>
      <c r="H6255">
        <v>265</v>
      </c>
      <c r="I6255">
        <v>291</v>
      </c>
      <c r="J6255">
        <v>1973</v>
      </c>
    </row>
    <row r="6256" spans="1:10" x14ac:dyDescent="0.25">
      <c r="A6256" t="s">
        <v>199</v>
      </c>
      <c r="B6256" t="s">
        <v>203</v>
      </c>
      <c r="C6256" t="s">
        <v>229</v>
      </c>
      <c r="D6256" t="s">
        <v>1176</v>
      </c>
      <c r="E6256" s="1">
        <v>1.0999999999999999E-2</v>
      </c>
      <c r="F6256" s="1">
        <v>1.2699999999999999E-2</v>
      </c>
      <c r="G6256" s="1">
        <v>1.9E-3</v>
      </c>
      <c r="H6256">
        <v>265</v>
      </c>
      <c r="I6256">
        <v>291</v>
      </c>
      <c r="J6256">
        <v>1973</v>
      </c>
    </row>
    <row r="6257" spans="1:10" x14ac:dyDescent="0.25">
      <c r="A6257" t="s">
        <v>199</v>
      </c>
      <c r="B6257" t="s">
        <v>203</v>
      </c>
      <c r="C6257" t="s">
        <v>229</v>
      </c>
      <c r="D6257" t="s">
        <v>1163</v>
      </c>
      <c r="E6257" s="1">
        <v>6.0000000000000001E-3</v>
      </c>
      <c r="F6257" s="1">
        <v>6.7999999999999996E-3</v>
      </c>
      <c r="G6257" s="1">
        <v>2.8899999999999999E-2</v>
      </c>
      <c r="H6257">
        <v>265</v>
      </c>
      <c r="I6257">
        <v>291</v>
      </c>
      <c r="J6257">
        <v>1973</v>
      </c>
    </row>
    <row r="6258" spans="1:10" x14ac:dyDescent="0.25">
      <c r="A6258" t="s">
        <v>199</v>
      </c>
      <c r="B6258" t="s">
        <v>203</v>
      </c>
      <c r="C6258" t="s">
        <v>229</v>
      </c>
      <c r="D6258" t="s">
        <v>1164</v>
      </c>
      <c r="E6258" s="1">
        <v>1.4999999999999999E-2</v>
      </c>
      <c r="F6258" s="1">
        <v>4.2299999999999997E-2</v>
      </c>
      <c r="G6258" s="1">
        <v>6.4100000000000004E-2</v>
      </c>
      <c r="H6258">
        <v>265</v>
      </c>
      <c r="I6258">
        <v>291</v>
      </c>
      <c r="J6258">
        <v>1973</v>
      </c>
    </row>
    <row r="6259" spans="1:10" x14ac:dyDescent="0.25">
      <c r="A6259" t="s">
        <v>199</v>
      </c>
      <c r="B6259" t="s">
        <v>203</v>
      </c>
      <c r="C6259" t="s">
        <v>229</v>
      </c>
      <c r="D6259" t="s">
        <v>1165</v>
      </c>
      <c r="E6259" s="1">
        <v>3.2899999999999999E-2</v>
      </c>
      <c r="F6259" s="1">
        <v>6.5500000000000003E-2</v>
      </c>
      <c r="G6259" s="1">
        <v>6.9099999999999995E-2</v>
      </c>
      <c r="H6259">
        <v>265</v>
      </c>
      <c r="I6259">
        <v>291</v>
      </c>
      <c r="J6259">
        <v>1973</v>
      </c>
    </row>
    <row r="6260" spans="1:10" x14ac:dyDescent="0.25">
      <c r="A6260" t="s">
        <v>199</v>
      </c>
      <c r="B6260" t="s">
        <v>203</v>
      </c>
      <c r="C6260" t="s">
        <v>229</v>
      </c>
      <c r="D6260" t="s">
        <v>1177</v>
      </c>
      <c r="E6260" s="1">
        <v>2.8E-3</v>
      </c>
      <c r="F6260" s="1">
        <v>9.1000000000000004E-3</v>
      </c>
      <c r="G6260" s="1">
        <v>5.4000000000000003E-3</v>
      </c>
      <c r="H6260">
        <v>265</v>
      </c>
      <c r="I6260">
        <v>291</v>
      </c>
      <c r="J6260">
        <v>1973</v>
      </c>
    </row>
    <row r="6261" spans="1:10" x14ac:dyDescent="0.25">
      <c r="A6261" t="s">
        <v>199</v>
      </c>
      <c r="B6261" t="s">
        <v>203</v>
      </c>
      <c r="C6261" t="s">
        <v>229</v>
      </c>
      <c r="D6261" t="s">
        <v>1178</v>
      </c>
      <c r="E6261" s="1">
        <v>3.5999999999999999E-3</v>
      </c>
      <c r="F6261" s="1">
        <v>2.2000000000000001E-3</v>
      </c>
      <c r="G6261" s="1">
        <v>0.02</v>
      </c>
      <c r="H6261">
        <v>265</v>
      </c>
      <c r="I6261">
        <v>291</v>
      </c>
      <c r="J6261">
        <v>1973</v>
      </c>
    </row>
    <row r="6262" spans="1:10" x14ac:dyDescent="0.25">
      <c r="A6262" t="s">
        <v>199</v>
      </c>
      <c r="B6262" t="s">
        <v>203</v>
      </c>
      <c r="C6262" t="s">
        <v>229</v>
      </c>
      <c r="D6262" t="s">
        <v>1179</v>
      </c>
      <c r="E6262" s="1">
        <v>1.2999999999999999E-3</v>
      </c>
      <c r="F6262" s="1">
        <v>1.8800000000000001E-2</v>
      </c>
      <c r="G6262" s="1">
        <v>1.9E-3</v>
      </c>
      <c r="H6262">
        <v>265</v>
      </c>
      <c r="I6262">
        <v>291</v>
      </c>
      <c r="J6262">
        <v>1973</v>
      </c>
    </row>
    <row r="6263" spans="1:10" x14ac:dyDescent="0.25">
      <c r="A6263" t="s">
        <v>199</v>
      </c>
      <c r="B6263" t="s">
        <v>203</v>
      </c>
      <c r="C6263" t="s">
        <v>229</v>
      </c>
      <c r="D6263" t="s">
        <v>1166</v>
      </c>
      <c r="E6263" s="1">
        <v>7.1999999999999998E-3</v>
      </c>
      <c r="F6263" s="1">
        <v>4.6399999999999997E-2</v>
      </c>
      <c r="G6263" s="1">
        <v>0.2276</v>
      </c>
      <c r="H6263">
        <v>265</v>
      </c>
      <c r="I6263">
        <v>291</v>
      </c>
      <c r="J6263">
        <v>1973</v>
      </c>
    </row>
    <row r="6264" spans="1:10" x14ac:dyDescent="0.25">
      <c r="A6264" t="s">
        <v>199</v>
      </c>
      <c r="B6264" t="s">
        <v>203</v>
      </c>
      <c r="C6264" t="s">
        <v>229</v>
      </c>
      <c r="D6264" t="s">
        <v>1167</v>
      </c>
      <c r="E6264" s="1">
        <v>6.9999999999999999E-4</v>
      </c>
      <c r="F6264" s="1">
        <v>3.0000000000000001E-3</v>
      </c>
      <c r="G6264" s="1">
        <v>9.1999999999999998E-3</v>
      </c>
      <c r="H6264">
        <v>265</v>
      </c>
      <c r="I6264">
        <v>291</v>
      </c>
      <c r="J6264">
        <v>1973</v>
      </c>
    </row>
    <row r="6265" spans="1:10" x14ac:dyDescent="0.25">
      <c r="A6265" t="s">
        <v>199</v>
      </c>
      <c r="B6265" t="s">
        <v>203</v>
      </c>
      <c r="C6265" t="s">
        <v>229</v>
      </c>
      <c r="D6265" t="s">
        <v>1168</v>
      </c>
      <c r="E6265" s="1">
        <v>8.3999999999999995E-3</v>
      </c>
      <c r="F6265" s="1">
        <v>7.2700000000000001E-2</v>
      </c>
      <c r="G6265" s="1">
        <v>6.4799999999999996E-2</v>
      </c>
      <c r="H6265">
        <v>265</v>
      </c>
      <c r="I6265">
        <v>291</v>
      </c>
      <c r="J6265">
        <v>1973</v>
      </c>
    </row>
    <row r="6266" spans="1:10" x14ac:dyDescent="0.25">
      <c r="A6266" t="s">
        <v>199</v>
      </c>
      <c r="B6266" t="s">
        <v>203</v>
      </c>
      <c r="C6266" t="s">
        <v>229</v>
      </c>
      <c r="D6266" t="s">
        <v>1170</v>
      </c>
      <c r="E6266" s="1">
        <v>6.9999999999999999E-4</v>
      </c>
      <c r="F6266" s="1">
        <v>3.2000000000000002E-3</v>
      </c>
      <c r="G6266" s="1">
        <v>3.5999999999999999E-3</v>
      </c>
      <c r="H6266">
        <v>265</v>
      </c>
      <c r="I6266">
        <v>291</v>
      </c>
      <c r="J6266">
        <v>1973</v>
      </c>
    </row>
    <row r="6267" spans="1:10" x14ac:dyDescent="0.25">
      <c r="A6267" t="s">
        <v>199</v>
      </c>
      <c r="B6267" t="s">
        <v>203</v>
      </c>
      <c r="C6267" t="s">
        <v>229</v>
      </c>
      <c r="D6267" t="s">
        <v>1180</v>
      </c>
      <c r="E6267" s="1">
        <v>2.5000000000000001E-3</v>
      </c>
      <c r="F6267" s="1">
        <v>2.0999999999999999E-3</v>
      </c>
      <c r="G6267" s="1">
        <v>3.2099999999999997E-2</v>
      </c>
      <c r="H6267">
        <v>265</v>
      </c>
      <c r="I6267">
        <v>291</v>
      </c>
      <c r="J6267">
        <v>1973</v>
      </c>
    </row>
    <row r="6268" spans="1:10" x14ac:dyDescent="0.25">
      <c r="A6268" t="s">
        <v>199</v>
      </c>
      <c r="B6268" t="s">
        <v>203</v>
      </c>
      <c r="C6268" t="s">
        <v>229</v>
      </c>
      <c r="D6268" t="s">
        <v>1172</v>
      </c>
      <c r="E6268" s="1">
        <v>0.18010000000000001</v>
      </c>
      <c r="F6268" s="1">
        <v>0.32479999999999998</v>
      </c>
      <c r="G6268" s="1">
        <v>3.2500000000000001E-2</v>
      </c>
      <c r="H6268">
        <v>265</v>
      </c>
      <c r="I6268">
        <v>291</v>
      </c>
      <c r="J6268">
        <v>1973</v>
      </c>
    </row>
    <row r="6269" spans="1:10" x14ac:dyDescent="0.25">
      <c r="A6269" t="s">
        <v>199</v>
      </c>
      <c r="B6269" t="s">
        <v>203</v>
      </c>
      <c r="C6269" t="s">
        <v>229</v>
      </c>
      <c r="D6269" t="s">
        <v>1173</v>
      </c>
      <c r="E6269" s="1">
        <v>0.69499999999999995</v>
      </c>
      <c r="F6269" s="1">
        <v>6.6600000000000006E-2</v>
      </c>
      <c r="G6269" s="1">
        <v>3.15E-2</v>
      </c>
      <c r="H6269">
        <v>265</v>
      </c>
      <c r="I6269">
        <v>291</v>
      </c>
      <c r="J6269">
        <v>1973</v>
      </c>
    </row>
    <row r="6270" spans="1:10" x14ac:dyDescent="0.25">
      <c r="A6270" t="s">
        <v>199</v>
      </c>
      <c r="B6270" t="s">
        <v>203</v>
      </c>
      <c r="C6270" t="s">
        <v>229</v>
      </c>
      <c r="D6270" t="s">
        <v>215</v>
      </c>
      <c r="E6270" s="1">
        <v>8.0000000000000004E-4</v>
      </c>
      <c r="H6270">
        <v>265</v>
      </c>
      <c r="I6270">
        <v>291</v>
      </c>
      <c r="J6270">
        <v>1973</v>
      </c>
    </row>
    <row r="6271" spans="1:10" x14ac:dyDescent="0.25">
      <c r="A6271" t="s">
        <v>200</v>
      </c>
      <c r="B6271" t="s">
        <v>203</v>
      </c>
      <c r="C6271" t="s">
        <v>228</v>
      </c>
      <c r="D6271" t="s">
        <v>220</v>
      </c>
      <c r="E6271" s="1">
        <v>1.5800000000000002E-2</v>
      </c>
      <c r="F6271" s="1">
        <v>5.33E-2</v>
      </c>
      <c r="G6271" s="1">
        <v>5.9400000000000001E-2</v>
      </c>
      <c r="H6271">
        <v>89</v>
      </c>
      <c r="I6271">
        <v>93</v>
      </c>
      <c r="J6271">
        <v>1973</v>
      </c>
    </row>
    <row r="6272" spans="1:10" x14ac:dyDescent="0.25">
      <c r="A6272" t="s">
        <v>200</v>
      </c>
      <c r="B6272" t="s">
        <v>203</v>
      </c>
      <c r="C6272" t="s">
        <v>228</v>
      </c>
      <c r="D6272" t="s">
        <v>1175</v>
      </c>
      <c r="E6272" s="1">
        <v>2.1399999999999999E-2</v>
      </c>
      <c r="F6272" s="1">
        <v>3.2500000000000001E-2</v>
      </c>
      <c r="G6272" s="1">
        <v>1.0699999999999999E-2</v>
      </c>
      <c r="H6272">
        <v>89</v>
      </c>
      <c r="I6272">
        <v>93</v>
      </c>
      <c r="J6272">
        <v>1973</v>
      </c>
    </row>
    <row r="6273" spans="1:10" x14ac:dyDescent="0.25">
      <c r="A6273" t="s">
        <v>200</v>
      </c>
      <c r="B6273" t="s">
        <v>203</v>
      </c>
      <c r="C6273" t="s">
        <v>228</v>
      </c>
      <c r="D6273" t="s">
        <v>1176</v>
      </c>
      <c r="E6273" s="1">
        <v>4.4000000000000003E-3</v>
      </c>
      <c r="F6273" s="1">
        <v>6.6E-3</v>
      </c>
      <c r="G6273" s="1">
        <v>1.0699999999999999E-2</v>
      </c>
      <c r="H6273">
        <v>89</v>
      </c>
      <c r="I6273">
        <v>93</v>
      </c>
      <c r="J6273">
        <v>1973</v>
      </c>
    </row>
    <row r="6274" spans="1:10" x14ac:dyDescent="0.25">
      <c r="A6274" t="s">
        <v>200</v>
      </c>
      <c r="B6274" t="s">
        <v>203</v>
      </c>
      <c r="C6274" t="s">
        <v>228</v>
      </c>
      <c r="D6274" t="s">
        <v>1163</v>
      </c>
      <c r="E6274" s="1">
        <v>3.0599999999999999E-2</v>
      </c>
      <c r="G6274" s="1">
        <v>5.21E-2</v>
      </c>
      <c r="H6274">
        <v>89</v>
      </c>
      <c r="I6274">
        <v>93</v>
      </c>
      <c r="J6274">
        <v>1973</v>
      </c>
    </row>
    <row r="6275" spans="1:10" x14ac:dyDescent="0.25">
      <c r="A6275" t="s">
        <v>200</v>
      </c>
      <c r="B6275" t="s">
        <v>203</v>
      </c>
      <c r="C6275" t="s">
        <v>228</v>
      </c>
      <c r="D6275" t="s">
        <v>1181</v>
      </c>
      <c r="E6275" s="1">
        <v>4.5999999999999999E-3</v>
      </c>
      <c r="F6275" s="1">
        <v>5.5999999999999999E-3</v>
      </c>
      <c r="G6275" s="1">
        <v>1.0699999999999999E-2</v>
      </c>
      <c r="H6275">
        <v>89</v>
      </c>
      <c r="I6275">
        <v>93</v>
      </c>
      <c r="J6275">
        <v>1973</v>
      </c>
    </row>
    <row r="6276" spans="1:10" x14ac:dyDescent="0.25">
      <c r="A6276" t="s">
        <v>200</v>
      </c>
      <c r="B6276" t="s">
        <v>203</v>
      </c>
      <c r="C6276" t="s">
        <v>228</v>
      </c>
      <c r="D6276" t="s">
        <v>1164</v>
      </c>
      <c r="E6276" s="1">
        <v>3.5499999999999997E-2</v>
      </c>
      <c r="F6276" s="1">
        <v>0.1085</v>
      </c>
      <c r="G6276" s="1">
        <v>0.1201</v>
      </c>
      <c r="H6276">
        <v>89</v>
      </c>
      <c r="I6276">
        <v>93</v>
      </c>
      <c r="J6276">
        <v>1973</v>
      </c>
    </row>
    <row r="6277" spans="1:10" x14ac:dyDescent="0.25">
      <c r="A6277" t="s">
        <v>200</v>
      </c>
      <c r="B6277" t="s">
        <v>203</v>
      </c>
      <c r="C6277" t="s">
        <v>228</v>
      </c>
      <c r="D6277" t="s">
        <v>1182</v>
      </c>
      <c r="E6277" s="1">
        <v>3.7000000000000002E-3</v>
      </c>
      <c r="H6277">
        <v>89</v>
      </c>
      <c r="I6277">
        <v>93</v>
      </c>
      <c r="J6277">
        <v>1973</v>
      </c>
    </row>
    <row r="6278" spans="1:10" x14ac:dyDescent="0.25">
      <c r="A6278" t="s">
        <v>200</v>
      </c>
      <c r="B6278" t="s">
        <v>203</v>
      </c>
      <c r="C6278" t="s">
        <v>228</v>
      </c>
      <c r="D6278" t="s">
        <v>1165</v>
      </c>
      <c r="E6278" s="1">
        <v>3.9699999999999999E-2</v>
      </c>
      <c r="F6278" s="1">
        <v>0.1699</v>
      </c>
      <c r="G6278" s="1">
        <v>0.39979999999999999</v>
      </c>
      <c r="H6278">
        <v>89</v>
      </c>
      <c r="I6278">
        <v>93</v>
      </c>
      <c r="J6278">
        <v>1973</v>
      </c>
    </row>
    <row r="6279" spans="1:10" x14ac:dyDescent="0.25">
      <c r="A6279" t="s">
        <v>200</v>
      </c>
      <c r="B6279" t="s">
        <v>203</v>
      </c>
      <c r="C6279" t="s">
        <v>228</v>
      </c>
      <c r="D6279" t="s">
        <v>1179</v>
      </c>
      <c r="E6279" s="1">
        <v>3.7000000000000002E-3</v>
      </c>
      <c r="F6279" s="1">
        <v>5.5999999999999999E-3</v>
      </c>
      <c r="G6279" s="1">
        <v>1.0699999999999999E-2</v>
      </c>
      <c r="H6279">
        <v>89</v>
      </c>
      <c r="I6279">
        <v>93</v>
      </c>
      <c r="J6279">
        <v>1973</v>
      </c>
    </row>
    <row r="6280" spans="1:10" x14ac:dyDescent="0.25">
      <c r="A6280" t="s">
        <v>200</v>
      </c>
      <c r="B6280" t="s">
        <v>203</v>
      </c>
      <c r="C6280" t="s">
        <v>228</v>
      </c>
      <c r="D6280" t="s">
        <v>1166</v>
      </c>
      <c r="E6280" s="1">
        <v>6.9999999999999999E-4</v>
      </c>
      <c r="F6280" s="1">
        <v>7.4300000000000005E-2</v>
      </c>
      <c r="G6280" s="1">
        <v>3.7199999999999997E-2</v>
      </c>
      <c r="H6280">
        <v>89</v>
      </c>
      <c r="I6280">
        <v>93</v>
      </c>
      <c r="J6280">
        <v>1973</v>
      </c>
    </row>
    <row r="6281" spans="1:10" x14ac:dyDescent="0.25">
      <c r="A6281" t="s">
        <v>200</v>
      </c>
      <c r="B6281" t="s">
        <v>203</v>
      </c>
      <c r="C6281" t="s">
        <v>228</v>
      </c>
      <c r="D6281" t="s">
        <v>1172</v>
      </c>
      <c r="E6281" s="1">
        <v>0.3483</v>
      </c>
      <c r="F6281" s="1">
        <v>0.2235</v>
      </c>
      <c r="G6281" s="1">
        <v>6.4199999999999993E-2</v>
      </c>
      <c r="H6281">
        <v>89</v>
      </c>
      <c r="I6281">
        <v>93</v>
      </c>
      <c r="J6281">
        <v>1973</v>
      </c>
    </row>
    <row r="6282" spans="1:10" x14ac:dyDescent="0.25">
      <c r="A6282" t="s">
        <v>200</v>
      </c>
      <c r="B6282" t="s">
        <v>203</v>
      </c>
      <c r="C6282" t="s">
        <v>228</v>
      </c>
      <c r="D6282" t="s">
        <v>1173</v>
      </c>
      <c r="E6282" s="1">
        <v>0.49159999999999998</v>
      </c>
      <c r="F6282" s="1">
        <v>0.2122</v>
      </c>
      <c r="G6282" s="1">
        <v>6.3100000000000003E-2</v>
      </c>
      <c r="H6282">
        <v>89</v>
      </c>
      <c r="I6282">
        <v>93</v>
      </c>
      <c r="J6282">
        <v>1973</v>
      </c>
    </row>
    <row r="6283" spans="1:10" x14ac:dyDescent="0.25">
      <c r="A6283" t="s">
        <v>200</v>
      </c>
      <c r="B6283" t="s">
        <v>203</v>
      </c>
      <c r="C6283" t="s">
        <v>229</v>
      </c>
      <c r="D6283" t="s">
        <v>1174</v>
      </c>
      <c r="E6283" s="1">
        <v>1E-4</v>
      </c>
      <c r="F6283" s="1">
        <v>6.9999999999999999E-4</v>
      </c>
      <c r="H6283">
        <v>365</v>
      </c>
      <c r="I6283">
        <v>221</v>
      </c>
      <c r="J6283">
        <v>1973</v>
      </c>
    </row>
    <row r="6284" spans="1:10" x14ac:dyDescent="0.25">
      <c r="A6284" t="s">
        <v>200</v>
      </c>
      <c r="B6284" t="s">
        <v>203</v>
      </c>
      <c r="C6284" t="s">
        <v>229</v>
      </c>
      <c r="D6284" t="s">
        <v>220</v>
      </c>
      <c r="E6284" s="1">
        <v>2.0999999999999999E-3</v>
      </c>
      <c r="F6284" s="1">
        <v>7.9100000000000004E-2</v>
      </c>
      <c r="G6284" s="1">
        <v>0.21529999999999999</v>
      </c>
      <c r="H6284">
        <v>365</v>
      </c>
      <c r="I6284">
        <v>221</v>
      </c>
      <c r="J6284">
        <v>1973</v>
      </c>
    </row>
    <row r="6285" spans="1:10" x14ac:dyDescent="0.25">
      <c r="A6285" t="s">
        <v>200</v>
      </c>
      <c r="B6285" t="s">
        <v>203</v>
      </c>
      <c r="C6285" t="s">
        <v>229</v>
      </c>
      <c r="D6285" t="s">
        <v>1175</v>
      </c>
      <c r="E6285" s="1">
        <v>3.0099999999999998E-2</v>
      </c>
      <c r="F6285" s="1">
        <v>4.2000000000000003E-2</v>
      </c>
      <c r="G6285" s="1">
        <v>0.1719</v>
      </c>
      <c r="H6285">
        <v>365</v>
      </c>
      <c r="I6285">
        <v>221</v>
      </c>
      <c r="J6285">
        <v>1973</v>
      </c>
    </row>
    <row r="6286" spans="1:10" x14ac:dyDescent="0.25">
      <c r="A6286" t="s">
        <v>200</v>
      </c>
      <c r="B6286" t="s">
        <v>203</v>
      </c>
      <c r="C6286" t="s">
        <v>229</v>
      </c>
      <c r="D6286" t="s">
        <v>1163</v>
      </c>
      <c r="E6286" s="1">
        <v>1.54E-2</v>
      </c>
      <c r="F6286" s="1">
        <v>5.4000000000000003E-3</v>
      </c>
      <c r="G6286" s="1">
        <v>1.2800000000000001E-2</v>
      </c>
      <c r="H6286">
        <v>365</v>
      </c>
      <c r="I6286">
        <v>221</v>
      </c>
      <c r="J6286">
        <v>1973</v>
      </c>
    </row>
    <row r="6287" spans="1:10" x14ac:dyDescent="0.25">
      <c r="A6287" t="s">
        <v>200</v>
      </c>
      <c r="B6287" t="s">
        <v>203</v>
      </c>
      <c r="C6287" t="s">
        <v>229</v>
      </c>
      <c r="D6287" t="s">
        <v>1164</v>
      </c>
      <c r="E6287" s="1">
        <v>2.8199999999999999E-2</v>
      </c>
      <c r="F6287" s="1">
        <v>9.7299999999999998E-2</v>
      </c>
      <c r="G6287" s="1">
        <v>0.14349999999999999</v>
      </c>
      <c r="H6287">
        <v>365</v>
      </c>
      <c r="I6287">
        <v>221</v>
      </c>
      <c r="J6287">
        <v>1973</v>
      </c>
    </row>
    <row r="6288" spans="1:10" x14ac:dyDescent="0.25">
      <c r="A6288" t="s">
        <v>200</v>
      </c>
      <c r="B6288" t="s">
        <v>203</v>
      </c>
      <c r="C6288" t="s">
        <v>229</v>
      </c>
      <c r="D6288" t="s">
        <v>1165</v>
      </c>
      <c r="E6288" s="1">
        <v>8.0399999999999999E-2</v>
      </c>
      <c r="F6288" s="1">
        <v>0.22309999999999999</v>
      </c>
      <c r="G6288" s="1">
        <v>0.1258</v>
      </c>
      <c r="H6288">
        <v>365</v>
      </c>
      <c r="I6288">
        <v>221</v>
      </c>
      <c r="J6288">
        <v>1973</v>
      </c>
    </row>
    <row r="6289" spans="1:10" x14ac:dyDescent="0.25">
      <c r="A6289" t="s">
        <v>200</v>
      </c>
      <c r="B6289" t="s">
        <v>203</v>
      </c>
      <c r="C6289" t="s">
        <v>229</v>
      </c>
      <c r="D6289" t="s">
        <v>1179</v>
      </c>
      <c r="E6289" s="1">
        <v>1.4E-3</v>
      </c>
      <c r="F6289" s="1">
        <v>5.4000000000000003E-3</v>
      </c>
      <c r="G6289" s="1">
        <v>1.7999999999999999E-2</v>
      </c>
      <c r="H6289">
        <v>365</v>
      </c>
      <c r="I6289">
        <v>221</v>
      </c>
      <c r="J6289">
        <v>1973</v>
      </c>
    </row>
    <row r="6290" spans="1:10" x14ac:dyDescent="0.25">
      <c r="A6290" t="s">
        <v>200</v>
      </c>
      <c r="B6290" t="s">
        <v>203</v>
      </c>
      <c r="C6290" t="s">
        <v>229</v>
      </c>
      <c r="D6290" t="s">
        <v>1166</v>
      </c>
      <c r="E6290" s="1">
        <v>7.7000000000000002E-3</v>
      </c>
      <c r="F6290" s="1">
        <v>5.3900000000000003E-2</v>
      </c>
      <c r="G6290" s="1">
        <v>8.0199999999999994E-2</v>
      </c>
      <c r="H6290">
        <v>365</v>
      </c>
      <c r="I6290">
        <v>221</v>
      </c>
      <c r="J6290">
        <v>1973</v>
      </c>
    </row>
    <row r="6291" spans="1:10" x14ac:dyDescent="0.25">
      <c r="A6291" t="s">
        <v>200</v>
      </c>
      <c r="B6291" t="s">
        <v>203</v>
      </c>
      <c r="C6291" t="s">
        <v>229</v>
      </c>
      <c r="D6291" t="s">
        <v>1168</v>
      </c>
      <c r="E6291" s="1">
        <v>3.2099999999999997E-2</v>
      </c>
      <c r="F6291" s="1">
        <v>9.4799999999999995E-2</v>
      </c>
      <c r="G6291" s="1">
        <v>2.81E-2</v>
      </c>
      <c r="H6291">
        <v>365</v>
      </c>
      <c r="I6291">
        <v>221</v>
      </c>
      <c r="J6291">
        <v>1973</v>
      </c>
    </row>
    <row r="6292" spans="1:10" x14ac:dyDescent="0.25">
      <c r="A6292" t="s">
        <v>200</v>
      </c>
      <c r="B6292" t="s">
        <v>203</v>
      </c>
      <c r="C6292" t="s">
        <v>229</v>
      </c>
      <c r="D6292" t="s">
        <v>1171</v>
      </c>
      <c r="E6292" s="1">
        <v>2.0000000000000001E-4</v>
      </c>
      <c r="H6292">
        <v>365</v>
      </c>
      <c r="I6292">
        <v>221</v>
      </c>
      <c r="J6292">
        <v>1973</v>
      </c>
    </row>
    <row r="6293" spans="1:10" x14ac:dyDescent="0.25">
      <c r="A6293" t="s">
        <v>200</v>
      </c>
      <c r="B6293" t="s">
        <v>203</v>
      </c>
      <c r="C6293" t="s">
        <v>229</v>
      </c>
      <c r="D6293" t="s">
        <v>1180</v>
      </c>
      <c r="E6293" s="1">
        <v>5.0000000000000001E-4</v>
      </c>
      <c r="F6293" s="1">
        <v>1.8E-3</v>
      </c>
      <c r="G6293" s="1">
        <v>8.0000000000000002E-3</v>
      </c>
      <c r="H6293">
        <v>365</v>
      </c>
      <c r="I6293">
        <v>221</v>
      </c>
      <c r="J6293">
        <v>1973</v>
      </c>
    </row>
    <row r="6294" spans="1:10" x14ac:dyDescent="0.25">
      <c r="A6294" t="s">
        <v>200</v>
      </c>
      <c r="B6294" t="s">
        <v>203</v>
      </c>
      <c r="C6294" t="s">
        <v>229</v>
      </c>
      <c r="D6294" t="s">
        <v>1172</v>
      </c>
      <c r="E6294" s="1">
        <v>0.26929999999999998</v>
      </c>
      <c r="F6294" s="1">
        <v>0.22950000000000001</v>
      </c>
      <c r="G6294" s="1">
        <v>1.4200000000000001E-2</v>
      </c>
      <c r="H6294">
        <v>365</v>
      </c>
      <c r="I6294">
        <v>221</v>
      </c>
      <c r="J6294">
        <v>1973</v>
      </c>
    </row>
    <row r="6295" spans="1:10" x14ac:dyDescent="0.25">
      <c r="A6295" t="s">
        <v>200</v>
      </c>
      <c r="B6295" t="s">
        <v>203</v>
      </c>
      <c r="C6295" t="s">
        <v>229</v>
      </c>
      <c r="D6295" t="s">
        <v>1173</v>
      </c>
      <c r="E6295" s="1">
        <v>0.53220000000000001</v>
      </c>
      <c r="F6295" s="1">
        <v>0.1159</v>
      </c>
      <c r="G6295" s="1">
        <v>1.1299999999999999E-2</v>
      </c>
      <c r="H6295">
        <v>365</v>
      </c>
      <c r="I6295">
        <v>221</v>
      </c>
      <c r="J6295">
        <v>1973</v>
      </c>
    </row>
    <row r="6296" spans="1:10" x14ac:dyDescent="0.25">
      <c r="A6296" t="s">
        <v>200</v>
      </c>
      <c r="B6296" t="s">
        <v>203</v>
      </c>
      <c r="C6296" t="s">
        <v>229</v>
      </c>
      <c r="D6296" t="s">
        <v>235</v>
      </c>
      <c r="E6296" s="1">
        <v>2.0000000000000001E-4</v>
      </c>
      <c r="F6296" s="1">
        <v>1.6000000000000001E-3</v>
      </c>
      <c r="G6296" s="1">
        <v>3.8999999999999998E-3</v>
      </c>
      <c r="H6296">
        <v>365</v>
      </c>
      <c r="I6296">
        <v>221</v>
      </c>
      <c r="J6296">
        <v>1973</v>
      </c>
    </row>
    <row r="6297" spans="1:10" x14ac:dyDescent="0.25">
      <c r="A6297" t="s">
        <v>201</v>
      </c>
      <c r="B6297" t="s">
        <v>203</v>
      </c>
      <c r="C6297" t="s">
        <v>228</v>
      </c>
      <c r="D6297" t="s">
        <v>220</v>
      </c>
      <c r="E6297" s="1">
        <v>1.2E-2</v>
      </c>
      <c r="F6297" s="1">
        <v>5.0000000000000001E-3</v>
      </c>
      <c r="G6297" s="1">
        <v>6.6400000000000001E-2</v>
      </c>
      <c r="H6297">
        <v>23</v>
      </c>
      <c r="I6297">
        <v>136</v>
      </c>
      <c r="J6297">
        <v>1973</v>
      </c>
    </row>
    <row r="6298" spans="1:10" x14ac:dyDescent="0.25">
      <c r="A6298" t="s">
        <v>201</v>
      </c>
      <c r="B6298" t="s">
        <v>203</v>
      </c>
      <c r="C6298" t="s">
        <v>228</v>
      </c>
      <c r="D6298" t="s">
        <v>1175</v>
      </c>
      <c r="E6298" s="1">
        <v>9.7000000000000003E-3</v>
      </c>
      <c r="F6298" s="1">
        <v>3.9E-2</v>
      </c>
      <c r="G6298" s="1">
        <v>0.187</v>
      </c>
      <c r="H6298">
        <v>23</v>
      </c>
      <c r="I6298">
        <v>136</v>
      </c>
      <c r="J6298">
        <v>1973</v>
      </c>
    </row>
    <row r="6299" spans="1:10" x14ac:dyDescent="0.25">
      <c r="A6299" t="s">
        <v>201</v>
      </c>
      <c r="B6299" t="s">
        <v>203</v>
      </c>
      <c r="C6299" t="s">
        <v>228</v>
      </c>
      <c r="D6299" t="s">
        <v>1176</v>
      </c>
      <c r="E6299" s="1">
        <v>3.6499999999999998E-2</v>
      </c>
      <c r="F6299" s="1">
        <v>0.1414</v>
      </c>
      <c r="G6299" s="1">
        <v>4.0899999999999999E-2</v>
      </c>
      <c r="H6299">
        <v>23</v>
      </c>
      <c r="I6299">
        <v>136</v>
      </c>
      <c r="J6299">
        <v>1973</v>
      </c>
    </row>
    <row r="6300" spans="1:10" x14ac:dyDescent="0.25">
      <c r="A6300" t="s">
        <v>201</v>
      </c>
      <c r="B6300" t="s">
        <v>203</v>
      </c>
      <c r="C6300" t="s">
        <v>228</v>
      </c>
      <c r="D6300" t="s">
        <v>1163</v>
      </c>
      <c r="E6300" s="1">
        <v>3.7699999999999997E-2</v>
      </c>
      <c r="F6300" s="1">
        <v>3.5299999999999998E-2</v>
      </c>
      <c r="G6300" s="1">
        <v>1.1299999999999999E-2</v>
      </c>
      <c r="H6300">
        <v>23</v>
      </c>
      <c r="I6300">
        <v>136</v>
      </c>
      <c r="J6300">
        <v>1973</v>
      </c>
    </row>
    <row r="6301" spans="1:10" x14ac:dyDescent="0.25">
      <c r="A6301" t="s">
        <v>201</v>
      </c>
      <c r="B6301" t="s">
        <v>203</v>
      </c>
      <c r="C6301" t="s">
        <v>228</v>
      </c>
      <c r="D6301" t="s">
        <v>1181</v>
      </c>
      <c r="E6301" s="1">
        <v>1.1999999999999999E-3</v>
      </c>
      <c r="G6301" s="1">
        <v>1.3599999999999999E-2</v>
      </c>
      <c r="H6301">
        <v>23</v>
      </c>
      <c r="I6301">
        <v>136</v>
      </c>
      <c r="J6301">
        <v>1973</v>
      </c>
    </row>
    <row r="6302" spans="1:10" x14ac:dyDescent="0.25">
      <c r="A6302" t="s">
        <v>201</v>
      </c>
      <c r="B6302" t="s">
        <v>203</v>
      </c>
      <c r="C6302" t="s">
        <v>228</v>
      </c>
      <c r="D6302" t="s">
        <v>1164</v>
      </c>
      <c r="E6302" s="1">
        <v>3.8699999999999998E-2</v>
      </c>
      <c r="F6302" s="1">
        <v>8.1699999999999995E-2</v>
      </c>
      <c r="G6302" s="1">
        <v>9.3700000000000006E-2</v>
      </c>
      <c r="H6302">
        <v>23</v>
      </c>
      <c r="I6302">
        <v>136</v>
      </c>
      <c r="J6302">
        <v>1973</v>
      </c>
    </row>
    <row r="6303" spans="1:10" x14ac:dyDescent="0.25">
      <c r="A6303" t="s">
        <v>201</v>
      </c>
      <c r="B6303" t="s">
        <v>203</v>
      </c>
      <c r="C6303" t="s">
        <v>228</v>
      </c>
      <c r="D6303" t="s">
        <v>1165</v>
      </c>
      <c r="E6303" s="1">
        <v>2.6800000000000001E-2</v>
      </c>
      <c r="F6303" s="1">
        <v>8.8000000000000005E-3</v>
      </c>
      <c r="G6303" s="1">
        <v>2.93E-2</v>
      </c>
      <c r="H6303">
        <v>23</v>
      </c>
      <c r="I6303">
        <v>136</v>
      </c>
      <c r="J6303">
        <v>1973</v>
      </c>
    </row>
    <row r="6304" spans="1:10" x14ac:dyDescent="0.25">
      <c r="A6304" t="s">
        <v>201</v>
      </c>
      <c r="B6304" t="s">
        <v>203</v>
      </c>
      <c r="C6304" t="s">
        <v>228</v>
      </c>
      <c r="D6304" t="s">
        <v>1177</v>
      </c>
      <c r="E6304" s="1">
        <v>0.1053</v>
      </c>
      <c r="F6304" s="1">
        <v>0.13250000000000001</v>
      </c>
      <c r="G6304" s="1">
        <v>9.6000000000000002E-2</v>
      </c>
      <c r="H6304">
        <v>23</v>
      </c>
      <c r="I6304">
        <v>136</v>
      </c>
      <c r="J6304">
        <v>1973</v>
      </c>
    </row>
    <row r="6305" spans="1:10" x14ac:dyDescent="0.25">
      <c r="A6305" t="s">
        <v>201</v>
      </c>
      <c r="B6305" t="s">
        <v>203</v>
      </c>
      <c r="C6305" t="s">
        <v>228</v>
      </c>
      <c r="D6305" t="s">
        <v>1178</v>
      </c>
      <c r="E6305" s="1">
        <v>4.41E-2</v>
      </c>
      <c r="F6305" s="1">
        <v>5.0000000000000001E-3</v>
      </c>
      <c r="G6305" s="1">
        <v>1.7899999999999999E-2</v>
      </c>
      <c r="H6305">
        <v>23</v>
      </c>
      <c r="I6305">
        <v>136</v>
      </c>
      <c r="J6305">
        <v>1973</v>
      </c>
    </row>
    <row r="6306" spans="1:10" x14ac:dyDescent="0.25">
      <c r="A6306" t="s">
        <v>201</v>
      </c>
      <c r="B6306" t="s">
        <v>203</v>
      </c>
      <c r="C6306" t="s">
        <v>228</v>
      </c>
      <c r="D6306" t="s">
        <v>1179</v>
      </c>
      <c r="E6306" s="1">
        <v>1.1999999999999999E-3</v>
      </c>
      <c r="F6306" s="1">
        <v>0.1721</v>
      </c>
      <c r="G6306" s="1">
        <v>2.8999999999999998E-3</v>
      </c>
      <c r="H6306">
        <v>23</v>
      </c>
      <c r="I6306">
        <v>136</v>
      </c>
      <c r="J6306">
        <v>1973</v>
      </c>
    </row>
    <row r="6307" spans="1:10" x14ac:dyDescent="0.25">
      <c r="A6307" t="s">
        <v>201</v>
      </c>
      <c r="B6307" t="s">
        <v>203</v>
      </c>
      <c r="C6307" t="s">
        <v>228</v>
      </c>
      <c r="D6307" t="s">
        <v>1166</v>
      </c>
      <c r="E6307" s="1">
        <v>3.5000000000000001E-3</v>
      </c>
      <c r="F6307" s="1">
        <v>0.123</v>
      </c>
      <c r="G6307" s="1">
        <v>5.4100000000000002E-2</v>
      </c>
      <c r="H6307">
        <v>23</v>
      </c>
      <c r="I6307">
        <v>136</v>
      </c>
      <c r="J6307">
        <v>1973</v>
      </c>
    </row>
    <row r="6308" spans="1:10" x14ac:dyDescent="0.25">
      <c r="A6308" t="s">
        <v>201</v>
      </c>
      <c r="B6308" t="s">
        <v>203</v>
      </c>
      <c r="C6308" t="s">
        <v>228</v>
      </c>
      <c r="D6308" t="s">
        <v>1168</v>
      </c>
      <c r="E6308" s="1">
        <v>1.2800000000000001E-2</v>
      </c>
      <c r="F6308" s="1">
        <v>5.3400000000000003E-2</v>
      </c>
      <c r="G6308" s="1">
        <v>0.1106</v>
      </c>
      <c r="H6308">
        <v>23</v>
      </c>
      <c r="I6308">
        <v>136</v>
      </c>
      <c r="J6308">
        <v>1973</v>
      </c>
    </row>
    <row r="6309" spans="1:10" x14ac:dyDescent="0.25">
      <c r="A6309" t="s">
        <v>201</v>
      </c>
      <c r="B6309" t="s">
        <v>203</v>
      </c>
      <c r="C6309" t="s">
        <v>228</v>
      </c>
      <c r="D6309" t="s">
        <v>1169</v>
      </c>
      <c r="E6309" s="1">
        <v>1.1999999999999999E-3</v>
      </c>
      <c r="F6309" s="1">
        <v>9.2999999999999992E-3</v>
      </c>
      <c r="H6309">
        <v>23</v>
      </c>
      <c r="I6309">
        <v>136</v>
      </c>
      <c r="J6309">
        <v>1973</v>
      </c>
    </row>
    <row r="6310" spans="1:10" x14ac:dyDescent="0.25">
      <c r="A6310" t="s">
        <v>201</v>
      </c>
      <c r="B6310" t="s">
        <v>203</v>
      </c>
      <c r="C6310" t="s">
        <v>228</v>
      </c>
      <c r="D6310" t="s">
        <v>1171</v>
      </c>
      <c r="E6310" s="1">
        <v>2.3999999999999998E-3</v>
      </c>
      <c r="F6310" s="1">
        <v>7.4000000000000003E-3</v>
      </c>
      <c r="G6310" s="1">
        <v>1.4E-3</v>
      </c>
      <c r="H6310">
        <v>23</v>
      </c>
      <c r="I6310">
        <v>136</v>
      </c>
      <c r="J6310">
        <v>1973</v>
      </c>
    </row>
    <row r="6311" spans="1:10" x14ac:dyDescent="0.25">
      <c r="A6311" t="s">
        <v>201</v>
      </c>
      <c r="B6311" t="s">
        <v>203</v>
      </c>
      <c r="C6311" t="s">
        <v>228</v>
      </c>
      <c r="D6311" t="s">
        <v>1180</v>
      </c>
      <c r="E6311" s="1">
        <v>8.5000000000000006E-3</v>
      </c>
      <c r="F6311" s="1">
        <v>1.2999999999999999E-3</v>
      </c>
      <c r="G6311" s="1">
        <v>8.5099999999999995E-2</v>
      </c>
      <c r="H6311">
        <v>23</v>
      </c>
      <c r="I6311">
        <v>136</v>
      </c>
      <c r="J6311">
        <v>1973</v>
      </c>
    </row>
    <row r="6312" spans="1:10" x14ac:dyDescent="0.25">
      <c r="A6312" t="s">
        <v>201</v>
      </c>
      <c r="B6312" t="s">
        <v>203</v>
      </c>
      <c r="C6312" t="s">
        <v>228</v>
      </c>
      <c r="D6312" t="s">
        <v>1172</v>
      </c>
      <c r="E6312" s="1">
        <v>0.40379999999999999</v>
      </c>
      <c r="F6312" s="1">
        <v>0.12540000000000001</v>
      </c>
      <c r="G6312" s="1">
        <v>2.35E-2</v>
      </c>
      <c r="H6312">
        <v>23</v>
      </c>
      <c r="I6312">
        <v>136</v>
      </c>
      <c r="J6312">
        <v>1973</v>
      </c>
    </row>
    <row r="6313" spans="1:10" x14ac:dyDescent="0.25">
      <c r="A6313" t="s">
        <v>201</v>
      </c>
      <c r="B6313" t="s">
        <v>203</v>
      </c>
      <c r="C6313" t="s">
        <v>228</v>
      </c>
      <c r="D6313" t="s">
        <v>1173</v>
      </c>
      <c r="E6313" s="1">
        <v>0.25340000000000001</v>
      </c>
      <c r="F6313" s="1">
        <v>4.53E-2</v>
      </c>
      <c r="G6313" s="1">
        <v>2.3E-2</v>
      </c>
      <c r="H6313">
        <v>23</v>
      </c>
      <c r="I6313">
        <v>136</v>
      </c>
      <c r="J6313">
        <v>1973</v>
      </c>
    </row>
    <row r="6314" spans="1:10" x14ac:dyDescent="0.25">
      <c r="A6314" t="s">
        <v>201</v>
      </c>
      <c r="B6314" t="s">
        <v>203</v>
      </c>
      <c r="C6314" t="s">
        <v>228</v>
      </c>
      <c r="D6314" t="s">
        <v>1183</v>
      </c>
      <c r="E6314" s="1">
        <v>1.1999999999999999E-3</v>
      </c>
      <c r="F6314" s="1">
        <v>2.5000000000000001E-3</v>
      </c>
      <c r="G6314" s="1">
        <v>1.3599999999999999E-2</v>
      </c>
      <c r="H6314">
        <v>23</v>
      </c>
      <c r="I6314">
        <v>136</v>
      </c>
      <c r="J6314">
        <v>1973</v>
      </c>
    </row>
    <row r="6315" spans="1:10" x14ac:dyDescent="0.25">
      <c r="A6315" t="s">
        <v>201</v>
      </c>
      <c r="B6315" t="s">
        <v>203</v>
      </c>
      <c r="C6315" t="s">
        <v>229</v>
      </c>
      <c r="D6315" t="s">
        <v>1174</v>
      </c>
      <c r="E6315" s="1">
        <v>1.6E-2</v>
      </c>
      <c r="G6315" s="1">
        <v>4.2099999999999999E-2</v>
      </c>
      <c r="H6315">
        <v>71</v>
      </c>
      <c r="I6315">
        <v>111</v>
      </c>
      <c r="J6315">
        <v>1973</v>
      </c>
    </row>
    <row r="6316" spans="1:10" x14ac:dyDescent="0.25">
      <c r="A6316" t="s">
        <v>201</v>
      </c>
      <c r="B6316" t="s">
        <v>203</v>
      </c>
      <c r="C6316" t="s">
        <v>229</v>
      </c>
      <c r="D6316" t="s">
        <v>220</v>
      </c>
      <c r="E6316" s="1">
        <v>3.2000000000000001E-2</v>
      </c>
      <c r="F6316" s="1">
        <v>1.0500000000000001E-2</v>
      </c>
      <c r="G6316" s="1">
        <v>7.1999999999999995E-2</v>
      </c>
      <c r="H6316">
        <v>71</v>
      </c>
      <c r="I6316">
        <v>111</v>
      </c>
      <c r="J6316">
        <v>1973</v>
      </c>
    </row>
    <row r="6317" spans="1:10" x14ac:dyDescent="0.25">
      <c r="A6317" t="s">
        <v>201</v>
      </c>
      <c r="B6317" t="s">
        <v>203</v>
      </c>
      <c r="C6317" t="s">
        <v>229</v>
      </c>
      <c r="D6317" t="s">
        <v>1175</v>
      </c>
      <c r="E6317" s="1">
        <v>2.0299999999999999E-2</v>
      </c>
      <c r="F6317" s="1">
        <v>7.8200000000000006E-2</v>
      </c>
      <c r="G6317" s="1">
        <v>0.13880000000000001</v>
      </c>
      <c r="H6317">
        <v>71</v>
      </c>
      <c r="I6317">
        <v>111</v>
      </c>
      <c r="J6317">
        <v>1973</v>
      </c>
    </row>
    <row r="6318" spans="1:10" x14ac:dyDescent="0.25">
      <c r="A6318" t="s">
        <v>201</v>
      </c>
      <c r="B6318" t="s">
        <v>203</v>
      </c>
      <c r="C6318" t="s">
        <v>229</v>
      </c>
      <c r="D6318" t="s">
        <v>1176</v>
      </c>
      <c r="E6318" s="1">
        <v>1.9699999999999999E-2</v>
      </c>
      <c r="F6318" s="1">
        <v>9.5999999999999992E-3</v>
      </c>
      <c r="G6318" s="1">
        <v>8.3000000000000001E-3</v>
      </c>
      <c r="H6318">
        <v>71</v>
      </c>
      <c r="I6318">
        <v>111</v>
      </c>
      <c r="J6318">
        <v>1973</v>
      </c>
    </row>
    <row r="6319" spans="1:10" x14ac:dyDescent="0.25">
      <c r="A6319" t="s">
        <v>201</v>
      </c>
      <c r="B6319" t="s">
        <v>203</v>
      </c>
      <c r="C6319" t="s">
        <v>229</v>
      </c>
      <c r="D6319" t="s">
        <v>1163</v>
      </c>
      <c r="E6319" s="1">
        <v>2.3E-3</v>
      </c>
      <c r="G6319" s="1">
        <v>5.1000000000000004E-3</v>
      </c>
      <c r="H6319">
        <v>71</v>
      </c>
      <c r="I6319">
        <v>111</v>
      </c>
      <c r="J6319">
        <v>1973</v>
      </c>
    </row>
    <row r="6320" spans="1:10" x14ac:dyDescent="0.25">
      <c r="A6320" t="s">
        <v>201</v>
      </c>
      <c r="B6320" t="s">
        <v>203</v>
      </c>
      <c r="C6320" t="s">
        <v>229</v>
      </c>
      <c r="D6320" t="s">
        <v>1164</v>
      </c>
      <c r="E6320" s="1">
        <v>0.1082</v>
      </c>
      <c r="F6320" s="1">
        <v>2.53E-2</v>
      </c>
      <c r="G6320" s="1">
        <v>8.0500000000000002E-2</v>
      </c>
      <c r="H6320">
        <v>71</v>
      </c>
      <c r="I6320">
        <v>111</v>
      </c>
      <c r="J6320">
        <v>1973</v>
      </c>
    </row>
    <row r="6321" spans="1:10" x14ac:dyDescent="0.25">
      <c r="A6321" t="s">
        <v>201</v>
      </c>
      <c r="B6321" t="s">
        <v>203</v>
      </c>
      <c r="C6321" t="s">
        <v>229</v>
      </c>
      <c r="D6321" t="s">
        <v>1177</v>
      </c>
      <c r="E6321" s="1">
        <v>3.2199999999999999E-2</v>
      </c>
      <c r="F6321" s="1">
        <v>0.20150000000000001</v>
      </c>
      <c r="G6321" s="1">
        <v>0.1411</v>
      </c>
      <c r="H6321">
        <v>71</v>
      </c>
      <c r="I6321">
        <v>111</v>
      </c>
      <c r="J6321">
        <v>1973</v>
      </c>
    </row>
    <row r="6322" spans="1:10" x14ac:dyDescent="0.25">
      <c r="A6322" t="s">
        <v>201</v>
      </c>
      <c r="B6322" t="s">
        <v>203</v>
      </c>
      <c r="C6322" t="s">
        <v>229</v>
      </c>
      <c r="D6322" t="s">
        <v>1179</v>
      </c>
      <c r="E6322" s="1">
        <v>4.41E-2</v>
      </c>
      <c r="F6322" s="1">
        <v>3.5000000000000001E-3</v>
      </c>
      <c r="H6322">
        <v>71</v>
      </c>
      <c r="I6322">
        <v>111</v>
      </c>
      <c r="J6322">
        <v>1973</v>
      </c>
    </row>
    <row r="6323" spans="1:10" x14ac:dyDescent="0.25">
      <c r="A6323" t="s">
        <v>201</v>
      </c>
      <c r="B6323" t="s">
        <v>203</v>
      </c>
      <c r="C6323" t="s">
        <v>229</v>
      </c>
      <c r="D6323" t="s">
        <v>1166</v>
      </c>
      <c r="E6323" s="1">
        <v>5.0000000000000001E-3</v>
      </c>
      <c r="F6323" s="1">
        <v>6.7100000000000007E-2</v>
      </c>
      <c r="G6323" s="1">
        <v>1.8599999999999998E-2</v>
      </c>
      <c r="H6323">
        <v>71</v>
      </c>
      <c r="I6323">
        <v>111</v>
      </c>
      <c r="J6323">
        <v>1973</v>
      </c>
    </row>
    <row r="6324" spans="1:10" x14ac:dyDescent="0.25">
      <c r="A6324" t="s">
        <v>201</v>
      </c>
      <c r="B6324" t="s">
        <v>203</v>
      </c>
      <c r="C6324" t="s">
        <v>229</v>
      </c>
      <c r="D6324" t="s">
        <v>1168</v>
      </c>
      <c r="E6324" s="1">
        <v>1.5100000000000001E-2</v>
      </c>
      <c r="F6324" s="1">
        <v>4.1599999999999998E-2</v>
      </c>
      <c r="G6324" s="1">
        <v>0.1288</v>
      </c>
      <c r="H6324">
        <v>71</v>
      </c>
      <c r="I6324">
        <v>111</v>
      </c>
      <c r="J6324">
        <v>1973</v>
      </c>
    </row>
    <row r="6325" spans="1:10" x14ac:dyDescent="0.25">
      <c r="A6325" t="s">
        <v>201</v>
      </c>
      <c r="B6325" t="s">
        <v>203</v>
      </c>
      <c r="C6325" t="s">
        <v>229</v>
      </c>
      <c r="D6325" t="s">
        <v>1170</v>
      </c>
      <c r="E6325" s="1">
        <v>2.3E-3</v>
      </c>
      <c r="F6325" s="1">
        <v>3.5000000000000001E-3</v>
      </c>
      <c r="H6325">
        <v>71</v>
      </c>
      <c r="I6325">
        <v>111</v>
      </c>
      <c r="J6325">
        <v>1973</v>
      </c>
    </row>
    <row r="6326" spans="1:10" x14ac:dyDescent="0.25">
      <c r="A6326" t="s">
        <v>201</v>
      </c>
      <c r="B6326" t="s">
        <v>203</v>
      </c>
      <c r="C6326" t="s">
        <v>229</v>
      </c>
      <c r="D6326" t="s">
        <v>1172</v>
      </c>
      <c r="E6326" s="1">
        <v>0.2767</v>
      </c>
      <c r="F6326" s="1">
        <v>0.3518</v>
      </c>
      <c r="G6326" s="1">
        <v>0.16930000000000001</v>
      </c>
      <c r="H6326">
        <v>71</v>
      </c>
      <c r="I6326">
        <v>111</v>
      </c>
      <c r="J6326">
        <v>1973</v>
      </c>
    </row>
    <row r="6327" spans="1:10" x14ac:dyDescent="0.25">
      <c r="A6327" t="s">
        <v>201</v>
      </c>
      <c r="B6327" t="s">
        <v>203</v>
      </c>
      <c r="C6327" t="s">
        <v>229</v>
      </c>
      <c r="D6327" t="s">
        <v>1173</v>
      </c>
      <c r="E6327" s="1">
        <v>0.42249999999999999</v>
      </c>
      <c r="F6327" s="1">
        <v>0.1192</v>
      </c>
      <c r="G6327" s="1">
        <v>4.7600000000000003E-2</v>
      </c>
      <c r="H6327">
        <v>71</v>
      </c>
      <c r="I6327">
        <v>111</v>
      </c>
      <c r="J6327">
        <v>1973</v>
      </c>
    </row>
    <row r="6328" spans="1:10" x14ac:dyDescent="0.25">
      <c r="A6328" t="s">
        <v>201</v>
      </c>
      <c r="B6328" t="s">
        <v>203</v>
      </c>
      <c r="C6328" t="s">
        <v>229</v>
      </c>
      <c r="D6328" t="s">
        <v>235</v>
      </c>
      <c r="E6328" s="1">
        <v>2.3E-3</v>
      </c>
      <c r="F6328" s="1">
        <v>1.6999999999999999E-3</v>
      </c>
      <c r="G6328" s="1">
        <v>3.73E-2</v>
      </c>
      <c r="H6328">
        <v>71</v>
      </c>
      <c r="I6328">
        <v>111</v>
      </c>
      <c r="J6328">
        <v>1973</v>
      </c>
    </row>
    <row r="6329" spans="1:10" x14ac:dyDescent="0.25">
      <c r="A6329" t="s">
        <v>201</v>
      </c>
      <c r="B6329" t="s">
        <v>203</v>
      </c>
      <c r="C6329" t="s">
        <v>229</v>
      </c>
      <c r="D6329" t="s">
        <v>1183</v>
      </c>
      <c r="E6329" s="1">
        <v>1.4E-3</v>
      </c>
      <c r="F6329" s="1">
        <v>2.9000000000000001E-2</v>
      </c>
      <c r="H6329">
        <v>71</v>
      </c>
      <c r="I6329">
        <v>111</v>
      </c>
      <c r="J6329">
        <v>1973</v>
      </c>
    </row>
    <row r="6330" spans="1:10" s="29" customFormat="1" x14ac:dyDescent="0.25">
      <c r="A6330" s="29" t="s">
        <v>202</v>
      </c>
      <c r="B6330" s="29" t="s">
        <v>203</v>
      </c>
      <c r="C6330" s="29" t="s">
        <v>228</v>
      </c>
      <c r="D6330" s="29" t="s">
        <v>220</v>
      </c>
      <c r="E6330" s="30">
        <v>0.109</v>
      </c>
      <c r="F6330" s="30">
        <v>6.0299999999999999E-2</v>
      </c>
      <c r="G6330" s="30">
        <v>0.15790000000000001</v>
      </c>
      <c r="H6330" s="29">
        <v>25</v>
      </c>
      <c r="I6330" s="29">
        <v>23</v>
      </c>
      <c r="J6330" s="29">
        <v>1973</v>
      </c>
    </row>
    <row r="6331" spans="1:10" s="29" customFormat="1" x14ac:dyDescent="0.25">
      <c r="A6331" s="29" t="s">
        <v>202</v>
      </c>
      <c r="B6331" s="29" t="s">
        <v>203</v>
      </c>
      <c r="C6331" s="29" t="s">
        <v>228</v>
      </c>
      <c r="D6331" s="29" t="s">
        <v>1175</v>
      </c>
      <c r="E6331" s="30">
        <v>3.15E-2</v>
      </c>
      <c r="G6331" s="30">
        <v>0.2089</v>
      </c>
      <c r="H6331" s="29">
        <v>25</v>
      </c>
      <c r="I6331" s="29">
        <v>23</v>
      </c>
      <c r="J6331" s="29">
        <v>1973</v>
      </c>
    </row>
    <row r="6332" spans="1:10" s="29" customFormat="1" x14ac:dyDescent="0.25">
      <c r="A6332" s="29" t="s">
        <v>202</v>
      </c>
      <c r="B6332" s="29" t="s">
        <v>203</v>
      </c>
      <c r="C6332" s="29" t="s">
        <v>228</v>
      </c>
      <c r="D6332" s="29" t="s">
        <v>1164</v>
      </c>
      <c r="E6332" s="30">
        <v>7.4399999999999994E-2</v>
      </c>
      <c r="F6332" s="30">
        <v>0.21510000000000001</v>
      </c>
      <c r="G6332" s="30">
        <v>5.6000000000000001E-2</v>
      </c>
      <c r="H6332" s="29">
        <v>25</v>
      </c>
      <c r="I6332" s="29">
        <v>23</v>
      </c>
      <c r="J6332" s="29">
        <v>1973</v>
      </c>
    </row>
    <row r="6333" spans="1:10" s="29" customFormat="1" x14ac:dyDescent="0.25">
      <c r="A6333" s="29" t="s">
        <v>202</v>
      </c>
      <c r="B6333" s="29" t="s">
        <v>203</v>
      </c>
      <c r="C6333" s="29" t="s">
        <v>228</v>
      </c>
      <c r="D6333" s="29" t="s">
        <v>1165</v>
      </c>
      <c r="E6333" s="30">
        <v>1.9900000000000001E-2</v>
      </c>
      <c r="F6333" s="30">
        <v>3.7999999999999999E-2</v>
      </c>
      <c r="H6333" s="29">
        <v>25</v>
      </c>
      <c r="I6333" s="29">
        <v>23</v>
      </c>
      <c r="J6333" s="29">
        <v>1973</v>
      </c>
    </row>
    <row r="6334" spans="1:10" s="29" customFormat="1" x14ac:dyDescent="0.25">
      <c r="A6334" s="29" t="s">
        <v>202</v>
      </c>
      <c r="B6334" s="29" t="s">
        <v>203</v>
      </c>
      <c r="C6334" s="29" t="s">
        <v>228</v>
      </c>
      <c r="D6334" s="29" t="s">
        <v>1166</v>
      </c>
      <c r="E6334" s="30">
        <v>5.79E-2</v>
      </c>
      <c r="F6334" s="30">
        <v>0.1779</v>
      </c>
      <c r="H6334" s="29">
        <v>25</v>
      </c>
      <c r="I6334" s="29">
        <v>23</v>
      </c>
      <c r="J6334" s="29">
        <v>1973</v>
      </c>
    </row>
    <row r="6335" spans="1:10" s="29" customFormat="1" x14ac:dyDescent="0.25">
      <c r="A6335" s="29" t="s">
        <v>202</v>
      </c>
      <c r="B6335" s="29" t="s">
        <v>203</v>
      </c>
      <c r="C6335" s="29" t="s">
        <v>228</v>
      </c>
      <c r="D6335" s="29" t="s">
        <v>1168</v>
      </c>
      <c r="E6335" s="30">
        <v>2.64E-2</v>
      </c>
      <c r="F6335" s="30">
        <v>0.33069999999999999</v>
      </c>
      <c r="G6335" s="30">
        <v>0.1119</v>
      </c>
      <c r="H6335" s="29">
        <v>25</v>
      </c>
      <c r="I6335" s="29">
        <v>23</v>
      </c>
      <c r="J6335" s="29">
        <v>1973</v>
      </c>
    </row>
    <row r="6336" spans="1:10" s="29" customFormat="1" x14ac:dyDescent="0.25">
      <c r="A6336" s="29" t="s">
        <v>202</v>
      </c>
      <c r="B6336" s="29" t="s">
        <v>203</v>
      </c>
      <c r="C6336" s="29" t="s">
        <v>228</v>
      </c>
      <c r="D6336" s="29" t="s">
        <v>1172</v>
      </c>
      <c r="E6336" s="30">
        <v>0.40600000000000003</v>
      </c>
      <c r="F6336" s="30">
        <v>3.7999999999999999E-2</v>
      </c>
      <c r="H6336" s="29">
        <v>25</v>
      </c>
      <c r="I6336" s="29">
        <v>23</v>
      </c>
      <c r="J6336" s="29">
        <v>1973</v>
      </c>
    </row>
    <row r="6337" spans="1:10" s="29" customFormat="1" x14ac:dyDescent="0.25">
      <c r="A6337" s="29" t="s">
        <v>202</v>
      </c>
      <c r="B6337" s="29" t="s">
        <v>203</v>
      </c>
      <c r="C6337" s="29" t="s">
        <v>228</v>
      </c>
      <c r="D6337" s="29" t="s">
        <v>1173</v>
      </c>
      <c r="E6337" s="30">
        <v>0.27500000000000002</v>
      </c>
      <c r="H6337" s="29">
        <v>25</v>
      </c>
      <c r="I6337" s="29">
        <v>23</v>
      </c>
      <c r="J6337" s="29">
        <v>1973</v>
      </c>
    </row>
    <row r="6338" spans="1:10" s="29" customFormat="1" x14ac:dyDescent="0.25">
      <c r="A6338" s="29" t="s">
        <v>202</v>
      </c>
      <c r="B6338" s="29" t="s">
        <v>203</v>
      </c>
      <c r="C6338" s="29" t="s">
        <v>229</v>
      </c>
      <c r="D6338" s="29" t="s">
        <v>220</v>
      </c>
      <c r="E6338" s="30">
        <v>1.6400000000000001E-2</v>
      </c>
      <c r="F6338" s="30">
        <v>0.25940000000000002</v>
      </c>
      <c r="H6338" s="29">
        <v>47</v>
      </c>
      <c r="I6338" s="29">
        <v>27</v>
      </c>
      <c r="J6338" s="29">
        <v>1973</v>
      </c>
    </row>
    <row r="6339" spans="1:10" s="29" customFormat="1" x14ac:dyDescent="0.25">
      <c r="A6339" s="29" t="s">
        <v>202</v>
      </c>
      <c r="B6339" s="29" t="s">
        <v>203</v>
      </c>
      <c r="C6339" s="29" t="s">
        <v>229</v>
      </c>
      <c r="D6339" s="29" t="s">
        <v>1175</v>
      </c>
      <c r="E6339" s="30">
        <v>1.6400000000000001E-2</v>
      </c>
      <c r="F6339" s="30">
        <v>7.5200000000000003E-2</v>
      </c>
      <c r="G6339" s="30">
        <v>0.15640000000000001</v>
      </c>
      <c r="H6339" s="29">
        <v>47</v>
      </c>
      <c r="I6339" s="29">
        <v>27</v>
      </c>
      <c r="J6339" s="29">
        <v>1973</v>
      </c>
    </row>
    <row r="6340" spans="1:10" s="29" customFormat="1" x14ac:dyDescent="0.25">
      <c r="A6340" s="29" t="s">
        <v>202</v>
      </c>
      <c r="B6340" s="29" t="s">
        <v>203</v>
      </c>
      <c r="C6340" s="29" t="s">
        <v>229</v>
      </c>
      <c r="D6340" s="29" t="s">
        <v>1164</v>
      </c>
      <c r="E6340" s="30">
        <v>5.5E-2</v>
      </c>
      <c r="F6340" s="30">
        <v>7.5200000000000003E-2</v>
      </c>
      <c r="H6340" s="29">
        <v>47</v>
      </c>
      <c r="I6340" s="29">
        <v>27</v>
      </c>
      <c r="J6340" s="29">
        <v>1973</v>
      </c>
    </row>
    <row r="6341" spans="1:10" s="29" customFormat="1" x14ac:dyDescent="0.25">
      <c r="A6341" s="29" t="s">
        <v>202</v>
      </c>
      <c r="B6341" s="29" t="s">
        <v>203</v>
      </c>
      <c r="C6341" s="29" t="s">
        <v>229</v>
      </c>
      <c r="D6341" s="29" t="s">
        <v>1179</v>
      </c>
      <c r="E6341" s="30">
        <v>1.6400000000000001E-2</v>
      </c>
      <c r="F6341" s="30">
        <v>6.1800000000000001E-2</v>
      </c>
      <c r="H6341" s="29">
        <v>47</v>
      </c>
      <c r="I6341" s="29">
        <v>27</v>
      </c>
      <c r="J6341" s="29">
        <v>1973</v>
      </c>
    </row>
    <row r="6342" spans="1:10" s="29" customFormat="1" x14ac:dyDescent="0.25">
      <c r="A6342" s="29" t="s">
        <v>202</v>
      </c>
      <c r="B6342" s="29" t="s">
        <v>203</v>
      </c>
      <c r="C6342" s="29" t="s">
        <v>229</v>
      </c>
      <c r="D6342" s="29" t="s">
        <v>1166</v>
      </c>
      <c r="E6342" s="30">
        <v>2.8299999999999999E-2</v>
      </c>
      <c r="F6342" s="30">
        <v>7.1400000000000005E-2</v>
      </c>
      <c r="G6342" s="30">
        <v>4.41E-2</v>
      </c>
      <c r="H6342" s="29">
        <v>47</v>
      </c>
      <c r="I6342" s="29">
        <v>27</v>
      </c>
      <c r="J6342" s="29">
        <v>1973</v>
      </c>
    </row>
    <row r="6343" spans="1:10" s="29" customFormat="1" x14ac:dyDescent="0.25">
      <c r="A6343" s="29" t="s">
        <v>202</v>
      </c>
      <c r="B6343" s="29" t="s">
        <v>203</v>
      </c>
      <c r="C6343" s="29" t="s">
        <v>229</v>
      </c>
      <c r="D6343" s="29" t="s">
        <v>1168</v>
      </c>
      <c r="E6343" s="30">
        <v>0.1898</v>
      </c>
      <c r="F6343" s="30">
        <v>2.41E-2</v>
      </c>
      <c r="G6343" s="30">
        <v>0.24010000000000001</v>
      </c>
      <c r="H6343" s="29">
        <v>47</v>
      </c>
      <c r="I6343" s="29">
        <v>27</v>
      </c>
      <c r="J6343" s="29">
        <v>1973</v>
      </c>
    </row>
    <row r="6344" spans="1:10" s="29" customFormat="1" x14ac:dyDescent="0.25">
      <c r="A6344" s="29" t="s">
        <v>202</v>
      </c>
      <c r="B6344" s="29" t="s">
        <v>203</v>
      </c>
      <c r="C6344" s="29" t="s">
        <v>229</v>
      </c>
      <c r="D6344" s="29" t="s">
        <v>1172</v>
      </c>
      <c r="E6344" s="30">
        <v>0.15390000000000001</v>
      </c>
      <c r="F6344" s="30">
        <v>0.17549999999999999</v>
      </c>
      <c r="G6344" s="30">
        <v>3.3300000000000003E-2</v>
      </c>
      <c r="H6344" s="29">
        <v>47</v>
      </c>
      <c r="I6344" s="29">
        <v>27</v>
      </c>
      <c r="J6344" s="29">
        <v>1973</v>
      </c>
    </row>
    <row r="6345" spans="1:10" s="29" customFormat="1" x14ac:dyDescent="0.25">
      <c r="A6345" s="29" t="s">
        <v>202</v>
      </c>
      <c r="B6345" s="29" t="s">
        <v>203</v>
      </c>
      <c r="C6345" s="29" t="s">
        <v>229</v>
      </c>
      <c r="D6345" s="29" t="s">
        <v>1173</v>
      </c>
      <c r="E6345" s="30">
        <v>0.52380000000000004</v>
      </c>
      <c r="H6345" s="29">
        <v>47</v>
      </c>
      <c r="I6345" s="29">
        <v>27</v>
      </c>
      <c r="J6345" s="29">
        <v>1973</v>
      </c>
    </row>
    <row r="6346" spans="1:10" x14ac:dyDescent="0.25">
      <c r="A6346" t="s">
        <v>204</v>
      </c>
      <c r="B6346" t="s">
        <v>204</v>
      </c>
      <c r="C6346" t="s">
        <v>204</v>
      </c>
      <c r="D6346" t="s">
        <v>1174</v>
      </c>
      <c r="E6346" s="1">
        <v>4.5999999999999999E-3</v>
      </c>
      <c r="F6346" s="1">
        <v>1.5800000000000002E-2</v>
      </c>
      <c r="G6346" s="1">
        <v>2.5700000000000001E-2</v>
      </c>
      <c r="H6346">
        <v>1973</v>
      </c>
      <c r="I6346">
        <v>1973</v>
      </c>
      <c r="J6346">
        <v>1973</v>
      </c>
    </row>
    <row r="6347" spans="1:10" x14ac:dyDescent="0.25">
      <c r="A6347" t="s">
        <v>204</v>
      </c>
      <c r="B6347" t="s">
        <v>204</v>
      </c>
      <c r="C6347" t="s">
        <v>204</v>
      </c>
      <c r="D6347" t="s">
        <v>220</v>
      </c>
      <c r="E6347" s="1">
        <v>7.0000000000000001E-3</v>
      </c>
      <c r="F6347" s="1">
        <v>4.2700000000000002E-2</v>
      </c>
      <c r="G6347" s="1">
        <v>7.0499999999999993E-2</v>
      </c>
      <c r="H6347">
        <v>1973</v>
      </c>
      <c r="I6347">
        <v>1973</v>
      </c>
      <c r="J6347">
        <v>1973</v>
      </c>
    </row>
    <row r="6348" spans="1:10" x14ac:dyDescent="0.25">
      <c r="A6348" t="s">
        <v>204</v>
      </c>
      <c r="B6348" t="s">
        <v>204</v>
      </c>
      <c r="C6348" t="s">
        <v>204</v>
      </c>
      <c r="D6348" t="s">
        <v>1175</v>
      </c>
      <c r="E6348" s="1">
        <v>1.4E-2</v>
      </c>
      <c r="F6348" s="1">
        <v>7.5800000000000006E-2</v>
      </c>
      <c r="G6348" s="1">
        <v>0.1046</v>
      </c>
      <c r="H6348">
        <v>1973</v>
      </c>
      <c r="I6348">
        <v>1973</v>
      </c>
      <c r="J6348">
        <v>1973</v>
      </c>
    </row>
    <row r="6349" spans="1:10" x14ac:dyDescent="0.25">
      <c r="A6349" t="s">
        <v>204</v>
      </c>
      <c r="B6349" t="s">
        <v>204</v>
      </c>
      <c r="C6349" t="s">
        <v>204</v>
      </c>
      <c r="D6349" t="s">
        <v>1176</v>
      </c>
      <c r="E6349" s="1">
        <v>4.7999999999999996E-3</v>
      </c>
      <c r="F6349" s="1">
        <v>2.4500000000000001E-2</v>
      </c>
      <c r="G6349" s="1">
        <v>2.0899999999999998E-2</v>
      </c>
      <c r="H6349">
        <v>1973</v>
      </c>
      <c r="I6349">
        <v>1973</v>
      </c>
      <c r="J6349">
        <v>1973</v>
      </c>
    </row>
    <row r="6350" spans="1:10" x14ac:dyDescent="0.25">
      <c r="A6350" t="s">
        <v>204</v>
      </c>
      <c r="B6350" t="s">
        <v>204</v>
      </c>
      <c r="C6350" t="s">
        <v>204</v>
      </c>
      <c r="D6350" t="s">
        <v>1163</v>
      </c>
      <c r="E6350" s="1">
        <v>4.3499999999999997E-2</v>
      </c>
      <c r="F6350" s="1">
        <v>4.41E-2</v>
      </c>
      <c r="G6350" s="1">
        <v>4.8599999999999997E-2</v>
      </c>
      <c r="H6350">
        <v>1973</v>
      </c>
      <c r="I6350">
        <v>1973</v>
      </c>
      <c r="J6350">
        <v>1973</v>
      </c>
    </row>
    <row r="6351" spans="1:10" x14ac:dyDescent="0.25">
      <c r="A6351" t="s">
        <v>204</v>
      </c>
      <c r="B6351" t="s">
        <v>204</v>
      </c>
      <c r="C6351" t="s">
        <v>204</v>
      </c>
      <c r="D6351" t="s">
        <v>1181</v>
      </c>
      <c r="E6351" s="1">
        <v>4.0000000000000002E-4</v>
      </c>
      <c r="F6351" s="1">
        <v>2.3999999999999998E-3</v>
      </c>
      <c r="G6351" s="1">
        <v>1.12E-2</v>
      </c>
      <c r="H6351">
        <v>1973</v>
      </c>
      <c r="I6351">
        <v>1973</v>
      </c>
      <c r="J6351">
        <v>1973</v>
      </c>
    </row>
    <row r="6352" spans="1:10" x14ac:dyDescent="0.25">
      <c r="A6352" t="s">
        <v>204</v>
      </c>
      <c r="B6352" t="s">
        <v>204</v>
      </c>
      <c r="C6352" t="s">
        <v>204</v>
      </c>
      <c r="D6352" t="s">
        <v>1164</v>
      </c>
      <c r="E6352" s="1">
        <v>4.4999999999999998E-2</v>
      </c>
      <c r="F6352" s="1">
        <v>9.2399999999999996E-2</v>
      </c>
      <c r="G6352" s="1">
        <v>0.14000000000000001</v>
      </c>
      <c r="H6352">
        <v>1973</v>
      </c>
      <c r="I6352">
        <v>1973</v>
      </c>
      <c r="J6352">
        <v>1973</v>
      </c>
    </row>
    <row r="6353" spans="1:10" x14ac:dyDescent="0.25">
      <c r="A6353" t="s">
        <v>204</v>
      </c>
      <c r="B6353" t="s">
        <v>204</v>
      </c>
      <c r="C6353" t="s">
        <v>204</v>
      </c>
      <c r="D6353" t="s">
        <v>1182</v>
      </c>
      <c r="E6353" s="1">
        <v>2.0000000000000001E-4</v>
      </c>
      <c r="F6353" s="1">
        <v>3.3999999999999998E-3</v>
      </c>
      <c r="G6353" s="1">
        <v>1.11E-2</v>
      </c>
      <c r="H6353">
        <v>1973</v>
      </c>
      <c r="I6353">
        <v>1973</v>
      </c>
      <c r="J6353">
        <v>1973</v>
      </c>
    </row>
    <row r="6354" spans="1:10" x14ac:dyDescent="0.25">
      <c r="A6354" t="s">
        <v>204</v>
      </c>
      <c r="B6354" t="s">
        <v>204</v>
      </c>
      <c r="C6354" t="s">
        <v>204</v>
      </c>
      <c r="D6354" t="s">
        <v>1165</v>
      </c>
      <c r="E6354" s="1">
        <v>3.2500000000000001E-2</v>
      </c>
      <c r="F6354" s="1">
        <v>8.6499999999999994E-2</v>
      </c>
      <c r="G6354" s="1">
        <v>7.2099999999999997E-2</v>
      </c>
      <c r="H6354">
        <v>1973</v>
      </c>
      <c r="I6354">
        <v>1973</v>
      </c>
      <c r="J6354">
        <v>1973</v>
      </c>
    </row>
    <row r="6355" spans="1:10" x14ac:dyDescent="0.25">
      <c r="A6355" t="s">
        <v>204</v>
      </c>
      <c r="B6355" t="s">
        <v>204</v>
      </c>
      <c r="C6355" t="s">
        <v>204</v>
      </c>
      <c r="D6355" t="s">
        <v>1177</v>
      </c>
      <c r="E6355" s="1">
        <v>6.1999999999999998E-3</v>
      </c>
      <c r="F6355" s="1">
        <v>1.3100000000000001E-2</v>
      </c>
      <c r="G6355" s="1">
        <v>1.2699999999999999E-2</v>
      </c>
      <c r="H6355">
        <v>1973</v>
      </c>
      <c r="I6355">
        <v>1973</v>
      </c>
      <c r="J6355">
        <v>1973</v>
      </c>
    </row>
    <row r="6356" spans="1:10" x14ac:dyDescent="0.25">
      <c r="A6356" t="s">
        <v>204</v>
      </c>
      <c r="B6356" t="s">
        <v>204</v>
      </c>
      <c r="C6356" t="s">
        <v>204</v>
      </c>
      <c r="D6356" t="s">
        <v>1178</v>
      </c>
      <c r="E6356" s="1">
        <v>2.3E-3</v>
      </c>
      <c r="F6356" s="1">
        <v>8.5000000000000006E-3</v>
      </c>
      <c r="G6356" s="1">
        <v>5.7000000000000002E-3</v>
      </c>
      <c r="H6356">
        <v>1973</v>
      </c>
      <c r="I6356">
        <v>1973</v>
      </c>
      <c r="J6356">
        <v>1973</v>
      </c>
    </row>
    <row r="6357" spans="1:10" x14ac:dyDescent="0.25">
      <c r="A6357" t="s">
        <v>204</v>
      </c>
      <c r="B6357" t="s">
        <v>204</v>
      </c>
      <c r="C6357" t="s">
        <v>204</v>
      </c>
      <c r="D6357" t="s">
        <v>1179</v>
      </c>
      <c r="E6357" s="1">
        <v>7.7999999999999996E-3</v>
      </c>
      <c r="F6357" s="1">
        <v>2.23E-2</v>
      </c>
      <c r="G6357" s="1">
        <v>1.44E-2</v>
      </c>
      <c r="H6357">
        <v>1973</v>
      </c>
      <c r="I6357">
        <v>1973</v>
      </c>
      <c r="J6357">
        <v>1973</v>
      </c>
    </row>
    <row r="6358" spans="1:10" x14ac:dyDescent="0.25">
      <c r="A6358" t="s">
        <v>204</v>
      </c>
      <c r="B6358" t="s">
        <v>204</v>
      </c>
      <c r="C6358" t="s">
        <v>204</v>
      </c>
      <c r="D6358" t="s">
        <v>1166</v>
      </c>
      <c r="E6358" s="1">
        <v>2.4400000000000002E-2</v>
      </c>
      <c r="F6358" s="1">
        <v>0.1143</v>
      </c>
      <c r="G6358" s="1">
        <v>0.1176</v>
      </c>
      <c r="H6358">
        <v>1973</v>
      </c>
      <c r="I6358">
        <v>1973</v>
      </c>
      <c r="J6358">
        <v>1973</v>
      </c>
    </row>
    <row r="6359" spans="1:10" x14ac:dyDescent="0.25">
      <c r="A6359" t="s">
        <v>204</v>
      </c>
      <c r="B6359" t="s">
        <v>204</v>
      </c>
      <c r="C6359" t="s">
        <v>204</v>
      </c>
      <c r="D6359" t="s">
        <v>1167</v>
      </c>
      <c r="E6359" s="1">
        <v>2.3E-3</v>
      </c>
      <c r="F6359" s="1">
        <v>5.1000000000000004E-3</v>
      </c>
      <c r="G6359" s="1">
        <v>2.41E-2</v>
      </c>
      <c r="H6359">
        <v>1973</v>
      </c>
      <c r="I6359">
        <v>1973</v>
      </c>
      <c r="J6359">
        <v>1973</v>
      </c>
    </row>
    <row r="6360" spans="1:10" x14ac:dyDescent="0.25">
      <c r="A6360" t="s">
        <v>204</v>
      </c>
      <c r="B6360" t="s">
        <v>204</v>
      </c>
      <c r="C6360" t="s">
        <v>204</v>
      </c>
      <c r="D6360" t="s">
        <v>1168</v>
      </c>
      <c r="E6360" s="1">
        <v>2.41E-2</v>
      </c>
      <c r="F6360" s="1">
        <v>6.3899999999999998E-2</v>
      </c>
      <c r="G6360" s="1">
        <v>8.6599999999999996E-2</v>
      </c>
      <c r="H6360">
        <v>1973</v>
      </c>
      <c r="I6360">
        <v>1973</v>
      </c>
      <c r="J6360">
        <v>1973</v>
      </c>
    </row>
    <row r="6361" spans="1:10" x14ac:dyDescent="0.25">
      <c r="A6361" t="s">
        <v>204</v>
      </c>
      <c r="B6361" t="s">
        <v>204</v>
      </c>
      <c r="C6361" t="s">
        <v>204</v>
      </c>
      <c r="D6361" t="s">
        <v>1169</v>
      </c>
      <c r="E6361" s="1">
        <v>3.3E-3</v>
      </c>
      <c r="F6361" s="1">
        <v>4.7000000000000002E-3</v>
      </c>
      <c r="G6361" s="1">
        <v>1.4E-2</v>
      </c>
      <c r="H6361">
        <v>1973</v>
      </c>
      <c r="I6361">
        <v>1973</v>
      </c>
      <c r="J6361">
        <v>1973</v>
      </c>
    </row>
    <row r="6362" spans="1:10" x14ac:dyDescent="0.25">
      <c r="A6362" t="s">
        <v>204</v>
      </c>
      <c r="B6362" t="s">
        <v>204</v>
      </c>
      <c r="C6362" t="s">
        <v>204</v>
      </c>
      <c r="D6362" t="s">
        <v>1170</v>
      </c>
      <c r="E6362" s="1">
        <v>4.0000000000000001E-3</v>
      </c>
      <c r="F6362" s="1">
        <v>1.5800000000000002E-2</v>
      </c>
      <c r="G6362" s="1">
        <v>2.18E-2</v>
      </c>
      <c r="H6362">
        <v>1973</v>
      </c>
      <c r="I6362">
        <v>1973</v>
      </c>
      <c r="J6362">
        <v>1973</v>
      </c>
    </row>
    <row r="6363" spans="1:10" x14ac:dyDescent="0.25">
      <c r="A6363" t="s">
        <v>204</v>
      </c>
      <c r="B6363" t="s">
        <v>204</v>
      </c>
      <c r="C6363" t="s">
        <v>204</v>
      </c>
      <c r="D6363" t="s">
        <v>1171</v>
      </c>
      <c r="E6363" s="1">
        <v>1.1999999999999999E-3</v>
      </c>
      <c r="F6363" s="1">
        <v>2.0000000000000001E-4</v>
      </c>
      <c r="G6363" s="1">
        <v>7.4999999999999997E-3</v>
      </c>
      <c r="H6363">
        <v>1973</v>
      </c>
      <c r="I6363">
        <v>1973</v>
      </c>
      <c r="J6363">
        <v>1973</v>
      </c>
    </row>
    <row r="6364" spans="1:10" x14ac:dyDescent="0.25">
      <c r="A6364" t="s">
        <v>204</v>
      </c>
      <c r="B6364" t="s">
        <v>204</v>
      </c>
      <c r="C6364" t="s">
        <v>204</v>
      </c>
      <c r="D6364" t="s">
        <v>1180</v>
      </c>
      <c r="E6364" s="1">
        <v>5.4000000000000003E-3</v>
      </c>
      <c r="F6364" s="1">
        <v>0.01</v>
      </c>
      <c r="G6364" s="1">
        <v>4.24E-2</v>
      </c>
      <c r="H6364">
        <v>1973</v>
      </c>
      <c r="I6364">
        <v>1973</v>
      </c>
      <c r="J6364">
        <v>1973</v>
      </c>
    </row>
    <row r="6365" spans="1:10" x14ac:dyDescent="0.25">
      <c r="A6365" t="s">
        <v>204</v>
      </c>
      <c r="B6365" t="s">
        <v>204</v>
      </c>
      <c r="C6365" t="s">
        <v>204</v>
      </c>
      <c r="D6365" t="s">
        <v>1172</v>
      </c>
      <c r="E6365" s="1">
        <v>0.3674</v>
      </c>
      <c r="F6365" s="1">
        <v>0.22389999999999999</v>
      </c>
      <c r="G6365" s="1">
        <v>7.8100000000000003E-2</v>
      </c>
      <c r="H6365">
        <v>1973</v>
      </c>
      <c r="I6365">
        <v>1973</v>
      </c>
      <c r="J6365">
        <v>1973</v>
      </c>
    </row>
    <row r="6366" spans="1:10" x14ac:dyDescent="0.25">
      <c r="A6366" t="s">
        <v>204</v>
      </c>
      <c r="B6366" t="s">
        <v>204</v>
      </c>
      <c r="C6366" t="s">
        <v>204</v>
      </c>
      <c r="D6366" t="s">
        <v>1173</v>
      </c>
      <c r="E6366" s="1">
        <v>0.39389999999999997</v>
      </c>
      <c r="F6366" s="1">
        <v>0.10879999999999999</v>
      </c>
      <c r="G6366" s="1">
        <v>3.49E-2</v>
      </c>
      <c r="H6366">
        <v>1973</v>
      </c>
      <c r="I6366">
        <v>1973</v>
      </c>
      <c r="J6366">
        <v>1973</v>
      </c>
    </row>
    <row r="6367" spans="1:10" x14ac:dyDescent="0.25">
      <c r="A6367" t="s">
        <v>204</v>
      </c>
      <c r="B6367" t="s">
        <v>204</v>
      </c>
      <c r="C6367" t="s">
        <v>204</v>
      </c>
      <c r="D6367" t="s">
        <v>235</v>
      </c>
      <c r="E6367" s="1">
        <v>6.9999999999999999E-4</v>
      </c>
      <c r="F6367" s="1">
        <v>9.4000000000000004E-3</v>
      </c>
      <c r="G6367" s="1">
        <v>1.35E-2</v>
      </c>
      <c r="H6367">
        <v>1973</v>
      </c>
      <c r="I6367">
        <v>1973</v>
      </c>
      <c r="J6367">
        <v>1973</v>
      </c>
    </row>
    <row r="6368" spans="1:10" x14ac:dyDescent="0.25">
      <c r="A6368" t="s">
        <v>204</v>
      </c>
      <c r="B6368" t="s">
        <v>204</v>
      </c>
      <c r="C6368" t="s">
        <v>204</v>
      </c>
      <c r="D6368" t="s">
        <v>215</v>
      </c>
      <c r="E6368" s="1">
        <v>5.0000000000000001E-3</v>
      </c>
      <c r="F6368" s="1">
        <v>0</v>
      </c>
      <c r="G6368" s="1">
        <v>1.4E-3</v>
      </c>
      <c r="H6368">
        <v>1973</v>
      </c>
      <c r="I6368">
        <v>1973</v>
      </c>
      <c r="J6368">
        <v>1973</v>
      </c>
    </row>
    <row r="6369" spans="1:10" x14ac:dyDescent="0.25">
      <c r="A6369" t="s">
        <v>204</v>
      </c>
      <c r="B6369" t="s">
        <v>204</v>
      </c>
      <c r="C6369" t="s">
        <v>204</v>
      </c>
      <c r="D6369" t="s">
        <v>1183</v>
      </c>
      <c r="E6369" s="1">
        <v>1E-4</v>
      </c>
      <c r="F6369" s="1">
        <v>1.2200000000000001E-2</v>
      </c>
      <c r="G6369" s="1">
        <v>2.0500000000000001E-2</v>
      </c>
      <c r="H6369">
        <v>1973</v>
      </c>
      <c r="I6369">
        <v>1973</v>
      </c>
      <c r="J6369">
        <v>1973</v>
      </c>
    </row>
    <row r="6371" spans="1:10" x14ac:dyDescent="0.25">
      <c r="A6371" t="s">
        <v>1185</v>
      </c>
    </row>
    <row r="6372" spans="1:10" x14ac:dyDescent="0.25">
      <c r="A6372" t="s">
        <v>189</v>
      </c>
      <c r="B6372" t="s">
        <v>190</v>
      </c>
      <c r="C6372" t="s">
        <v>206</v>
      </c>
      <c r="D6372" t="s">
        <v>754</v>
      </c>
      <c r="E6372" t="s">
        <v>1160</v>
      </c>
      <c r="F6372" t="s">
        <v>1161</v>
      </c>
      <c r="G6372" t="s">
        <v>1162</v>
      </c>
      <c r="H6372" t="s">
        <v>765</v>
      </c>
      <c r="I6372" t="s">
        <v>195</v>
      </c>
      <c r="J6372" t="s">
        <v>196</v>
      </c>
    </row>
    <row r="6373" spans="1:10" x14ac:dyDescent="0.25">
      <c r="A6373" t="s">
        <v>197</v>
      </c>
      <c r="B6373" t="s">
        <v>198</v>
      </c>
      <c r="C6373" t="s">
        <v>348</v>
      </c>
      <c r="D6373" t="s">
        <v>1163</v>
      </c>
      <c r="E6373" s="1">
        <v>6.6600000000000006E-2</v>
      </c>
      <c r="F6373" s="1">
        <v>3.3099999999999997E-2</v>
      </c>
      <c r="G6373" s="1">
        <v>6.6199999999999995E-2</v>
      </c>
      <c r="H6373">
        <v>145</v>
      </c>
      <c r="I6373">
        <v>70</v>
      </c>
      <c r="J6373">
        <v>1973</v>
      </c>
    </row>
    <row r="6374" spans="1:10" x14ac:dyDescent="0.25">
      <c r="A6374" t="s">
        <v>197</v>
      </c>
      <c r="B6374" t="s">
        <v>198</v>
      </c>
      <c r="C6374" t="s">
        <v>348</v>
      </c>
      <c r="D6374" t="s">
        <v>1164</v>
      </c>
      <c r="E6374" s="1">
        <v>7.0199999999999999E-2</v>
      </c>
      <c r="F6374" s="1">
        <v>5.5899999999999998E-2</v>
      </c>
      <c r="G6374" s="1">
        <v>0.2888</v>
      </c>
      <c r="H6374">
        <v>145</v>
      </c>
      <c r="I6374">
        <v>70</v>
      </c>
      <c r="J6374">
        <v>1973</v>
      </c>
    </row>
    <row r="6375" spans="1:10" x14ac:dyDescent="0.25">
      <c r="A6375" t="s">
        <v>197</v>
      </c>
      <c r="B6375" t="s">
        <v>198</v>
      </c>
      <c r="C6375" t="s">
        <v>348</v>
      </c>
      <c r="D6375" t="s">
        <v>1165</v>
      </c>
      <c r="E6375" s="1">
        <v>2.4299999999999999E-2</v>
      </c>
      <c r="G6375" s="1">
        <v>6.6199999999999995E-2</v>
      </c>
      <c r="H6375">
        <v>145</v>
      </c>
      <c r="I6375">
        <v>70</v>
      </c>
      <c r="J6375">
        <v>1973</v>
      </c>
    </row>
    <row r="6376" spans="1:10" x14ac:dyDescent="0.25">
      <c r="A6376" t="s">
        <v>197</v>
      </c>
      <c r="B6376" t="s">
        <v>198</v>
      </c>
      <c r="C6376" t="s">
        <v>348</v>
      </c>
      <c r="D6376" t="s">
        <v>1166</v>
      </c>
      <c r="E6376" s="1">
        <v>6.93E-2</v>
      </c>
      <c r="F6376" s="1">
        <v>0.30840000000000001</v>
      </c>
      <c r="G6376" s="1">
        <v>0.1125</v>
      </c>
      <c r="H6376">
        <v>145</v>
      </c>
      <c r="I6376">
        <v>70</v>
      </c>
      <c r="J6376">
        <v>1973</v>
      </c>
    </row>
    <row r="6377" spans="1:10" x14ac:dyDescent="0.25">
      <c r="A6377" t="s">
        <v>197</v>
      </c>
      <c r="B6377" t="s">
        <v>198</v>
      </c>
      <c r="C6377" t="s">
        <v>348</v>
      </c>
      <c r="D6377" t="s">
        <v>1167</v>
      </c>
      <c r="E6377" s="1">
        <v>8.6999999999999994E-3</v>
      </c>
      <c r="G6377" s="1">
        <v>4.87E-2</v>
      </c>
      <c r="H6377">
        <v>145</v>
      </c>
      <c r="I6377">
        <v>70</v>
      </c>
      <c r="J6377">
        <v>1973</v>
      </c>
    </row>
    <row r="6378" spans="1:10" x14ac:dyDescent="0.25">
      <c r="A6378" t="s">
        <v>197</v>
      </c>
      <c r="B6378" t="s">
        <v>198</v>
      </c>
      <c r="C6378" t="s">
        <v>348</v>
      </c>
      <c r="D6378" t="s">
        <v>1168</v>
      </c>
      <c r="E6378" s="1">
        <v>2.58E-2</v>
      </c>
      <c r="F6378" s="1">
        <v>7.7899999999999997E-2</v>
      </c>
      <c r="G6378" s="1">
        <v>2.58E-2</v>
      </c>
      <c r="H6378">
        <v>145</v>
      </c>
      <c r="I6378">
        <v>70</v>
      </c>
      <c r="J6378">
        <v>1973</v>
      </c>
    </row>
    <row r="6379" spans="1:10" x14ac:dyDescent="0.25">
      <c r="A6379" t="s">
        <v>197</v>
      </c>
      <c r="B6379" t="s">
        <v>198</v>
      </c>
      <c r="C6379" t="s">
        <v>348</v>
      </c>
      <c r="D6379" t="s">
        <v>1169</v>
      </c>
      <c r="E6379" s="1">
        <v>1.29E-2</v>
      </c>
      <c r="G6379" s="1">
        <v>6.4299999999999996E-2</v>
      </c>
      <c r="H6379">
        <v>145</v>
      </c>
      <c r="I6379">
        <v>70</v>
      </c>
      <c r="J6379">
        <v>1973</v>
      </c>
    </row>
    <row r="6380" spans="1:10" x14ac:dyDescent="0.25">
      <c r="A6380" t="s">
        <v>197</v>
      </c>
      <c r="B6380" t="s">
        <v>198</v>
      </c>
      <c r="C6380" t="s">
        <v>348</v>
      </c>
      <c r="D6380" t="s">
        <v>1170</v>
      </c>
      <c r="E6380" s="1">
        <v>8.6999999999999994E-3</v>
      </c>
      <c r="F6380" s="1">
        <v>1.72E-2</v>
      </c>
      <c r="G6380" s="1">
        <v>1.7500000000000002E-2</v>
      </c>
      <c r="H6380">
        <v>145</v>
      </c>
      <c r="I6380">
        <v>70</v>
      </c>
      <c r="J6380">
        <v>1973</v>
      </c>
    </row>
    <row r="6381" spans="1:10" x14ac:dyDescent="0.25">
      <c r="A6381" t="s">
        <v>197</v>
      </c>
      <c r="B6381" t="s">
        <v>198</v>
      </c>
      <c r="C6381" t="s">
        <v>348</v>
      </c>
      <c r="D6381" t="s">
        <v>1171</v>
      </c>
      <c r="E6381" s="1">
        <v>1.29E-2</v>
      </c>
      <c r="G6381" s="1">
        <v>3.2199999999999999E-2</v>
      </c>
      <c r="H6381">
        <v>145</v>
      </c>
      <c r="I6381">
        <v>70</v>
      </c>
      <c r="J6381">
        <v>1973</v>
      </c>
    </row>
    <row r="6382" spans="1:10" x14ac:dyDescent="0.25">
      <c r="A6382" t="s">
        <v>197</v>
      </c>
      <c r="B6382" t="s">
        <v>198</v>
      </c>
      <c r="C6382" t="s">
        <v>348</v>
      </c>
      <c r="D6382" t="s">
        <v>1172</v>
      </c>
      <c r="E6382" s="1">
        <v>0.59860000000000002</v>
      </c>
      <c r="F6382" s="1">
        <v>0.1517</v>
      </c>
      <c r="G6382" s="1">
        <v>8.3699999999999997E-2</v>
      </c>
      <c r="H6382">
        <v>145</v>
      </c>
      <c r="I6382">
        <v>70</v>
      </c>
      <c r="J6382">
        <v>1973</v>
      </c>
    </row>
    <row r="6383" spans="1:10" x14ac:dyDescent="0.25">
      <c r="A6383" t="s">
        <v>197</v>
      </c>
      <c r="B6383" t="s">
        <v>198</v>
      </c>
      <c r="C6383" t="s">
        <v>348</v>
      </c>
      <c r="D6383" t="s">
        <v>1173</v>
      </c>
      <c r="E6383" s="1">
        <v>0.10199999999999999</v>
      </c>
      <c r="F6383" s="1">
        <v>0.1227</v>
      </c>
      <c r="G6383" s="1">
        <v>4.3299999999999998E-2</v>
      </c>
      <c r="H6383">
        <v>145</v>
      </c>
      <c r="I6383">
        <v>70</v>
      </c>
      <c r="J6383">
        <v>1973</v>
      </c>
    </row>
    <row r="6384" spans="1:10" s="29" customFormat="1" x14ac:dyDescent="0.25">
      <c r="A6384" s="29" t="s">
        <v>197</v>
      </c>
      <c r="B6384" s="29" t="s">
        <v>198</v>
      </c>
      <c r="C6384" s="29" t="s">
        <v>349</v>
      </c>
      <c r="D6384" s="29" t="s">
        <v>1163</v>
      </c>
      <c r="E6384" s="30">
        <v>0.33329999999999999</v>
      </c>
      <c r="H6384" s="29">
        <v>6</v>
      </c>
      <c r="I6384" s="29">
        <v>3</v>
      </c>
      <c r="J6384" s="29">
        <v>1973</v>
      </c>
    </row>
    <row r="6385" spans="1:10" s="29" customFormat="1" x14ac:dyDescent="0.25">
      <c r="A6385" s="29" t="s">
        <v>197</v>
      </c>
      <c r="B6385" s="29" t="s">
        <v>198</v>
      </c>
      <c r="C6385" s="29" t="s">
        <v>349</v>
      </c>
      <c r="D6385" s="29" t="s">
        <v>1164</v>
      </c>
      <c r="E6385" s="30">
        <v>0.33329999999999999</v>
      </c>
      <c r="H6385" s="29">
        <v>6</v>
      </c>
      <c r="I6385" s="29">
        <v>3</v>
      </c>
      <c r="J6385" s="29">
        <v>1973</v>
      </c>
    </row>
    <row r="6386" spans="1:10" s="29" customFormat="1" x14ac:dyDescent="0.25">
      <c r="A6386" s="29" t="s">
        <v>197</v>
      </c>
      <c r="B6386" s="29" t="s">
        <v>198</v>
      </c>
      <c r="C6386" s="29" t="s">
        <v>349</v>
      </c>
      <c r="D6386" s="29" t="s">
        <v>1172</v>
      </c>
      <c r="E6386" s="30">
        <v>0.33329999999999999</v>
      </c>
      <c r="F6386" s="30">
        <v>0.33329999999999999</v>
      </c>
      <c r="H6386" s="29">
        <v>6</v>
      </c>
      <c r="I6386" s="29">
        <v>3</v>
      </c>
      <c r="J6386" s="29">
        <v>1973</v>
      </c>
    </row>
    <row r="6387" spans="1:10" x14ac:dyDescent="0.25">
      <c r="A6387" t="s">
        <v>199</v>
      </c>
      <c r="B6387" t="s">
        <v>198</v>
      </c>
      <c r="C6387" t="s">
        <v>348</v>
      </c>
      <c r="D6387" t="s">
        <v>1174</v>
      </c>
      <c r="E6387" s="1">
        <v>4.1999999999999997E-3</v>
      </c>
      <c r="F6387" s="1">
        <v>2.47E-2</v>
      </c>
      <c r="H6387">
        <v>41</v>
      </c>
      <c r="I6387">
        <v>49</v>
      </c>
      <c r="J6387">
        <v>1973</v>
      </c>
    </row>
    <row r="6388" spans="1:10" x14ac:dyDescent="0.25">
      <c r="A6388" t="s">
        <v>199</v>
      </c>
      <c r="B6388" t="s">
        <v>198</v>
      </c>
      <c r="C6388" t="s">
        <v>348</v>
      </c>
      <c r="D6388" t="s">
        <v>1175</v>
      </c>
      <c r="E6388" s="1">
        <v>4.1999999999999997E-3</v>
      </c>
      <c r="F6388" s="1">
        <v>0.1565</v>
      </c>
      <c r="G6388" s="1">
        <v>0.01</v>
      </c>
      <c r="H6388">
        <v>41</v>
      </c>
      <c r="I6388">
        <v>49</v>
      </c>
      <c r="J6388">
        <v>1973</v>
      </c>
    </row>
    <row r="6389" spans="1:10" x14ac:dyDescent="0.25">
      <c r="A6389" t="s">
        <v>199</v>
      </c>
      <c r="B6389" t="s">
        <v>198</v>
      </c>
      <c r="C6389" t="s">
        <v>348</v>
      </c>
      <c r="D6389" t="s">
        <v>1163</v>
      </c>
      <c r="E6389" s="1">
        <v>8.2699999999999996E-2</v>
      </c>
      <c r="F6389" s="1">
        <v>4.9399999999999999E-2</v>
      </c>
      <c r="G6389" s="1">
        <v>3.7600000000000001E-2</v>
      </c>
      <c r="H6389">
        <v>41</v>
      </c>
      <c r="I6389">
        <v>49</v>
      </c>
      <c r="J6389">
        <v>1973</v>
      </c>
    </row>
    <row r="6390" spans="1:10" x14ac:dyDescent="0.25">
      <c r="A6390" t="s">
        <v>199</v>
      </c>
      <c r="B6390" t="s">
        <v>198</v>
      </c>
      <c r="C6390" t="s">
        <v>348</v>
      </c>
      <c r="D6390" t="s">
        <v>1164</v>
      </c>
      <c r="E6390" s="1">
        <v>0.1174</v>
      </c>
      <c r="F6390" s="1">
        <v>0.14810000000000001</v>
      </c>
      <c r="G6390" s="1">
        <v>5.7599999999999998E-2</v>
      </c>
      <c r="H6390">
        <v>41</v>
      </c>
      <c r="I6390">
        <v>49</v>
      </c>
      <c r="J6390">
        <v>1973</v>
      </c>
    </row>
    <row r="6391" spans="1:10" x14ac:dyDescent="0.25">
      <c r="A6391" t="s">
        <v>199</v>
      </c>
      <c r="B6391" t="s">
        <v>198</v>
      </c>
      <c r="C6391" t="s">
        <v>348</v>
      </c>
      <c r="D6391" t="s">
        <v>1165</v>
      </c>
      <c r="E6391" s="1">
        <v>1.5900000000000001E-2</v>
      </c>
      <c r="G6391" s="1">
        <v>4.3900000000000002E-2</v>
      </c>
      <c r="H6391">
        <v>41</v>
      </c>
      <c r="I6391">
        <v>49</v>
      </c>
      <c r="J6391">
        <v>1973</v>
      </c>
    </row>
    <row r="6392" spans="1:10" x14ac:dyDescent="0.25">
      <c r="A6392" t="s">
        <v>199</v>
      </c>
      <c r="B6392" t="s">
        <v>198</v>
      </c>
      <c r="C6392" t="s">
        <v>348</v>
      </c>
      <c r="D6392" t="s">
        <v>1179</v>
      </c>
      <c r="E6392" s="1">
        <v>1.1900000000000001E-2</v>
      </c>
      <c r="F6392" s="1">
        <v>2.86E-2</v>
      </c>
      <c r="H6392">
        <v>41</v>
      </c>
      <c r="I6392">
        <v>49</v>
      </c>
      <c r="J6392">
        <v>1973</v>
      </c>
    </row>
    <row r="6393" spans="1:10" x14ac:dyDescent="0.25">
      <c r="A6393" t="s">
        <v>199</v>
      </c>
      <c r="B6393" t="s">
        <v>198</v>
      </c>
      <c r="C6393" t="s">
        <v>348</v>
      </c>
      <c r="D6393" t="s">
        <v>1166</v>
      </c>
      <c r="E6393" s="1">
        <v>8.3999999999999995E-3</v>
      </c>
      <c r="F6393" s="1">
        <v>0.14460000000000001</v>
      </c>
      <c r="G6393" s="1">
        <v>0.47299999999999998</v>
      </c>
      <c r="H6393">
        <v>41</v>
      </c>
      <c r="I6393">
        <v>49</v>
      </c>
      <c r="J6393">
        <v>1973</v>
      </c>
    </row>
    <row r="6394" spans="1:10" x14ac:dyDescent="0.25">
      <c r="A6394" t="s">
        <v>199</v>
      </c>
      <c r="B6394" t="s">
        <v>198</v>
      </c>
      <c r="C6394" t="s">
        <v>348</v>
      </c>
      <c r="D6394" t="s">
        <v>1167</v>
      </c>
      <c r="E6394" s="1">
        <v>1.5900000000000001E-2</v>
      </c>
      <c r="F6394" s="1">
        <v>6.4000000000000003E-3</v>
      </c>
      <c r="H6394">
        <v>41</v>
      </c>
      <c r="I6394">
        <v>49</v>
      </c>
      <c r="J6394">
        <v>1973</v>
      </c>
    </row>
    <row r="6395" spans="1:10" x14ac:dyDescent="0.25">
      <c r="A6395" t="s">
        <v>199</v>
      </c>
      <c r="B6395" t="s">
        <v>198</v>
      </c>
      <c r="C6395" t="s">
        <v>348</v>
      </c>
      <c r="D6395" t="s">
        <v>1168</v>
      </c>
      <c r="E6395" s="1">
        <v>1.6199999999999999E-2</v>
      </c>
      <c r="F6395" s="1">
        <v>2.8199999999999999E-2</v>
      </c>
      <c r="G6395" s="1">
        <v>4.8300000000000003E-2</v>
      </c>
      <c r="H6395">
        <v>41</v>
      </c>
      <c r="I6395">
        <v>49</v>
      </c>
      <c r="J6395">
        <v>1973</v>
      </c>
    </row>
    <row r="6396" spans="1:10" x14ac:dyDescent="0.25">
      <c r="A6396" t="s">
        <v>199</v>
      </c>
      <c r="B6396" t="s">
        <v>198</v>
      </c>
      <c r="C6396" t="s">
        <v>348</v>
      </c>
      <c r="D6396" t="s">
        <v>1169</v>
      </c>
      <c r="E6396" s="1">
        <v>1.1900000000000001E-2</v>
      </c>
      <c r="F6396" s="1">
        <v>3.6499999999999998E-2</v>
      </c>
      <c r="H6396">
        <v>41</v>
      </c>
      <c r="I6396">
        <v>49</v>
      </c>
      <c r="J6396">
        <v>1973</v>
      </c>
    </row>
    <row r="6397" spans="1:10" x14ac:dyDescent="0.25">
      <c r="A6397" t="s">
        <v>199</v>
      </c>
      <c r="B6397" t="s">
        <v>198</v>
      </c>
      <c r="C6397" t="s">
        <v>348</v>
      </c>
      <c r="D6397" t="s">
        <v>1172</v>
      </c>
      <c r="E6397" s="1">
        <v>0.47220000000000001</v>
      </c>
      <c r="F6397" s="1">
        <v>0.16750000000000001</v>
      </c>
      <c r="G6397" s="1">
        <v>0.28129999999999999</v>
      </c>
      <c r="H6397">
        <v>41</v>
      </c>
      <c r="I6397">
        <v>49</v>
      </c>
      <c r="J6397">
        <v>1973</v>
      </c>
    </row>
    <row r="6398" spans="1:10" x14ac:dyDescent="0.25">
      <c r="A6398" t="s">
        <v>199</v>
      </c>
      <c r="B6398" t="s">
        <v>198</v>
      </c>
      <c r="C6398" t="s">
        <v>348</v>
      </c>
      <c r="D6398" t="s">
        <v>1173</v>
      </c>
      <c r="E6398" s="1">
        <v>0.23910000000000001</v>
      </c>
      <c r="F6398" s="1">
        <v>0.16109999999999999</v>
      </c>
      <c r="G6398" s="1">
        <v>0.02</v>
      </c>
      <c r="H6398">
        <v>41</v>
      </c>
      <c r="I6398">
        <v>49</v>
      </c>
      <c r="J6398">
        <v>1973</v>
      </c>
    </row>
    <row r="6399" spans="1:10" x14ac:dyDescent="0.25">
      <c r="A6399" t="s">
        <v>199</v>
      </c>
      <c r="B6399" t="s">
        <v>198</v>
      </c>
      <c r="C6399" t="s">
        <v>349</v>
      </c>
      <c r="D6399" t="s">
        <v>1174</v>
      </c>
      <c r="E6399" s="1">
        <v>2.5999999999999999E-3</v>
      </c>
      <c r="F6399" s="1">
        <v>5.6000000000000001E-2</v>
      </c>
      <c r="G6399" s="1">
        <v>5.4999999999999997E-3</v>
      </c>
      <c r="H6399">
        <v>111</v>
      </c>
      <c r="I6399">
        <v>84</v>
      </c>
      <c r="J6399">
        <v>1973</v>
      </c>
    </row>
    <row r="6400" spans="1:10" x14ac:dyDescent="0.25">
      <c r="A6400" t="s">
        <v>199</v>
      </c>
      <c r="B6400" t="s">
        <v>198</v>
      </c>
      <c r="C6400" t="s">
        <v>349</v>
      </c>
      <c r="D6400" t="s">
        <v>220</v>
      </c>
      <c r="E6400" s="1">
        <v>2.5999999999999999E-3</v>
      </c>
      <c r="F6400" s="1">
        <v>9.1999999999999998E-3</v>
      </c>
      <c r="G6400" s="1">
        <v>2.5600000000000001E-2</v>
      </c>
      <c r="H6400">
        <v>111</v>
      </c>
      <c r="I6400">
        <v>84</v>
      </c>
      <c r="J6400">
        <v>1973</v>
      </c>
    </row>
    <row r="6401" spans="1:10" x14ac:dyDescent="0.25">
      <c r="A6401" t="s">
        <v>199</v>
      </c>
      <c r="B6401" t="s">
        <v>198</v>
      </c>
      <c r="C6401" t="s">
        <v>349</v>
      </c>
      <c r="D6401" t="s">
        <v>1175</v>
      </c>
      <c r="E6401" s="1">
        <v>8.5000000000000006E-3</v>
      </c>
      <c r="F6401" s="1">
        <v>8.8999999999999999E-3</v>
      </c>
      <c r="G6401" s="1">
        <v>9.74E-2</v>
      </c>
      <c r="H6401">
        <v>111</v>
      </c>
      <c r="I6401">
        <v>84</v>
      </c>
      <c r="J6401">
        <v>1973</v>
      </c>
    </row>
    <row r="6402" spans="1:10" x14ac:dyDescent="0.25">
      <c r="A6402" t="s">
        <v>199</v>
      </c>
      <c r="B6402" t="s">
        <v>198</v>
      </c>
      <c r="C6402" t="s">
        <v>349</v>
      </c>
      <c r="D6402" t="s">
        <v>1163</v>
      </c>
      <c r="E6402" s="1">
        <v>6.3E-2</v>
      </c>
      <c r="F6402" s="1">
        <v>0.18540000000000001</v>
      </c>
      <c r="G6402" s="1">
        <v>0.1178</v>
      </c>
      <c r="H6402">
        <v>111</v>
      </c>
      <c r="I6402">
        <v>84</v>
      </c>
      <c r="J6402">
        <v>1973</v>
      </c>
    </row>
    <row r="6403" spans="1:10" x14ac:dyDescent="0.25">
      <c r="A6403" t="s">
        <v>199</v>
      </c>
      <c r="B6403" t="s">
        <v>198</v>
      </c>
      <c r="C6403" t="s">
        <v>349</v>
      </c>
      <c r="D6403" t="s">
        <v>1164</v>
      </c>
      <c r="E6403" s="1">
        <v>2.58E-2</v>
      </c>
      <c r="F6403" s="1">
        <v>3.1800000000000002E-2</v>
      </c>
      <c r="G6403" s="1">
        <v>5.1299999999999998E-2</v>
      </c>
      <c r="H6403">
        <v>111</v>
      </c>
      <c r="I6403">
        <v>84</v>
      </c>
      <c r="J6403">
        <v>1973</v>
      </c>
    </row>
    <row r="6404" spans="1:10" x14ac:dyDescent="0.25">
      <c r="A6404" t="s">
        <v>199</v>
      </c>
      <c r="B6404" t="s">
        <v>198</v>
      </c>
      <c r="C6404" t="s">
        <v>349</v>
      </c>
      <c r="D6404" t="s">
        <v>1165</v>
      </c>
      <c r="E6404" s="1">
        <v>1.9699999999999999E-2</v>
      </c>
      <c r="F6404" s="1">
        <v>2.01E-2</v>
      </c>
      <c r="G6404" s="1">
        <v>4.1000000000000003E-3</v>
      </c>
      <c r="H6404">
        <v>111</v>
      </c>
      <c r="I6404">
        <v>84</v>
      </c>
      <c r="J6404">
        <v>1973</v>
      </c>
    </row>
    <row r="6405" spans="1:10" x14ac:dyDescent="0.25">
      <c r="A6405" t="s">
        <v>199</v>
      </c>
      <c r="B6405" t="s">
        <v>198</v>
      </c>
      <c r="C6405" t="s">
        <v>349</v>
      </c>
      <c r="D6405" t="s">
        <v>1177</v>
      </c>
      <c r="E6405" s="1">
        <v>8.9999999999999998E-4</v>
      </c>
      <c r="H6405">
        <v>111</v>
      </c>
      <c r="I6405">
        <v>84</v>
      </c>
      <c r="J6405">
        <v>1973</v>
      </c>
    </row>
    <row r="6406" spans="1:10" x14ac:dyDescent="0.25">
      <c r="A6406" t="s">
        <v>199</v>
      </c>
      <c r="B6406" t="s">
        <v>198</v>
      </c>
      <c r="C6406" t="s">
        <v>349</v>
      </c>
      <c r="D6406" t="s">
        <v>1178</v>
      </c>
      <c r="E6406" s="1">
        <v>1.8700000000000001E-2</v>
      </c>
      <c r="F6406" s="1">
        <v>2.64E-2</v>
      </c>
      <c r="H6406">
        <v>111</v>
      </c>
      <c r="I6406">
        <v>84</v>
      </c>
      <c r="J6406">
        <v>1973</v>
      </c>
    </row>
    <row r="6407" spans="1:10" x14ac:dyDescent="0.25">
      <c r="A6407" t="s">
        <v>199</v>
      </c>
      <c r="B6407" t="s">
        <v>198</v>
      </c>
      <c r="C6407" t="s">
        <v>349</v>
      </c>
      <c r="D6407" t="s">
        <v>1179</v>
      </c>
      <c r="E6407" s="1">
        <v>2.3999999999999998E-3</v>
      </c>
      <c r="F6407" s="1">
        <v>1.55E-2</v>
      </c>
      <c r="H6407">
        <v>111</v>
      </c>
      <c r="I6407">
        <v>84</v>
      </c>
      <c r="J6407">
        <v>1973</v>
      </c>
    </row>
    <row r="6408" spans="1:10" x14ac:dyDescent="0.25">
      <c r="A6408" t="s">
        <v>199</v>
      </c>
      <c r="B6408" t="s">
        <v>198</v>
      </c>
      <c r="C6408" t="s">
        <v>349</v>
      </c>
      <c r="D6408" t="s">
        <v>1166</v>
      </c>
      <c r="E6408" s="1">
        <v>3.1300000000000001E-2</v>
      </c>
      <c r="F6408" s="1">
        <v>0.1381</v>
      </c>
      <c r="G6408" s="1">
        <v>0.1028</v>
      </c>
      <c r="H6408">
        <v>111</v>
      </c>
      <c r="I6408">
        <v>84</v>
      </c>
      <c r="J6408">
        <v>1973</v>
      </c>
    </row>
    <row r="6409" spans="1:10" x14ac:dyDescent="0.25">
      <c r="A6409" t="s">
        <v>199</v>
      </c>
      <c r="B6409" t="s">
        <v>198</v>
      </c>
      <c r="C6409" t="s">
        <v>349</v>
      </c>
      <c r="D6409" t="s">
        <v>1167</v>
      </c>
      <c r="E6409" s="1">
        <v>5.1999999999999998E-3</v>
      </c>
      <c r="G6409" s="1">
        <v>4.1000000000000003E-3</v>
      </c>
      <c r="H6409">
        <v>111</v>
      </c>
      <c r="I6409">
        <v>84</v>
      </c>
      <c r="J6409">
        <v>1973</v>
      </c>
    </row>
    <row r="6410" spans="1:10" x14ac:dyDescent="0.25">
      <c r="A6410" t="s">
        <v>199</v>
      </c>
      <c r="B6410" t="s">
        <v>198</v>
      </c>
      <c r="C6410" t="s">
        <v>349</v>
      </c>
      <c r="D6410" t="s">
        <v>1168</v>
      </c>
      <c r="E6410" s="1">
        <v>6.7000000000000002E-3</v>
      </c>
      <c r="F6410" s="1">
        <v>1.29E-2</v>
      </c>
      <c r="G6410" s="1">
        <v>0.2208</v>
      </c>
      <c r="H6410">
        <v>111</v>
      </c>
      <c r="I6410">
        <v>84</v>
      </c>
      <c r="J6410">
        <v>1973</v>
      </c>
    </row>
    <row r="6411" spans="1:10" x14ac:dyDescent="0.25">
      <c r="A6411" t="s">
        <v>199</v>
      </c>
      <c r="B6411" t="s">
        <v>198</v>
      </c>
      <c r="C6411" t="s">
        <v>349</v>
      </c>
      <c r="D6411" t="s">
        <v>1170</v>
      </c>
      <c r="E6411" s="1">
        <v>2.46E-2</v>
      </c>
      <c r="F6411" s="1">
        <v>3.39E-2</v>
      </c>
      <c r="G6411" s="1">
        <v>4.1000000000000003E-3</v>
      </c>
      <c r="H6411">
        <v>111</v>
      </c>
      <c r="I6411">
        <v>84</v>
      </c>
      <c r="J6411">
        <v>1973</v>
      </c>
    </row>
    <row r="6412" spans="1:10" x14ac:dyDescent="0.25">
      <c r="A6412" t="s">
        <v>199</v>
      </c>
      <c r="B6412" t="s">
        <v>198</v>
      </c>
      <c r="C6412" t="s">
        <v>349</v>
      </c>
      <c r="D6412" t="s">
        <v>1180</v>
      </c>
      <c r="E6412" s="1">
        <v>2.5999999999999999E-3</v>
      </c>
      <c r="F6412" s="1">
        <v>3.0999999999999999E-3</v>
      </c>
      <c r="G6412" s="1">
        <v>5.3E-3</v>
      </c>
      <c r="H6412">
        <v>111</v>
      </c>
      <c r="I6412">
        <v>84</v>
      </c>
      <c r="J6412">
        <v>1973</v>
      </c>
    </row>
    <row r="6413" spans="1:10" x14ac:dyDescent="0.25">
      <c r="A6413" t="s">
        <v>199</v>
      </c>
      <c r="B6413" t="s">
        <v>198</v>
      </c>
      <c r="C6413" t="s">
        <v>349</v>
      </c>
      <c r="D6413" t="s">
        <v>1172</v>
      </c>
      <c r="E6413" s="1">
        <v>0.36180000000000001</v>
      </c>
      <c r="F6413" s="1">
        <v>0.2344</v>
      </c>
      <c r="G6413" s="1">
        <v>0.1724</v>
      </c>
      <c r="H6413">
        <v>111</v>
      </c>
      <c r="I6413">
        <v>84</v>
      </c>
      <c r="J6413">
        <v>1973</v>
      </c>
    </row>
    <row r="6414" spans="1:10" x14ac:dyDescent="0.25">
      <c r="A6414" t="s">
        <v>199</v>
      </c>
      <c r="B6414" t="s">
        <v>198</v>
      </c>
      <c r="C6414" t="s">
        <v>349</v>
      </c>
      <c r="D6414" t="s">
        <v>1173</v>
      </c>
      <c r="E6414" s="1">
        <v>0.42380000000000001</v>
      </c>
      <c r="F6414" s="1">
        <v>0.1943</v>
      </c>
      <c r="G6414" s="1">
        <v>0.1142</v>
      </c>
      <c r="H6414">
        <v>111</v>
      </c>
      <c r="I6414">
        <v>84</v>
      </c>
      <c r="J6414">
        <v>1973</v>
      </c>
    </row>
    <row r="6415" spans="1:10" x14ac:dyDescent="0.25">
      <c r="A6415" t="s">
        <v>199</v>
      </c>
      <c r="B6415" t="s">
        <v>198</v>
      </c>
      <c r="C6415" t="s">
        <v>350</v>
      </c>
      <c r="D6415" t="s">
        <v>1174</v>
      </c>
      <c r="E6415" s="1">
        <v>5.4999999999999997E-3</v>
      </c>
      <c r="F6415" s="1">
        <v>1.1900000000000001E-2</v>
      </c>
      <c r="G6415" s="1">
        <v>8.3799999999999999E-2</v>
      </c>
      <c r="H6415">
        <v>119</v>
      </c>
      <c r="I6415">
        <v>155</v>
      </c>
      <c r="J6415">
        <v>1973</v>
      </c>
    </row>
    <row r="6416" spans="1:10" x14ac:dyDescent="0.25">
      <c r="A6416" t="s">
        <v>199</v>
      </c>
      <c r="B6416" t="s">
        <v>198</v>
      </c>
      <c r="C6416" t="s">
        <v>350</v>
      </c>
      <c r="D6416" t="s">
        <v>1175</v>
      </c>
      <c r="E6416" s="1">
        <v>6.3E-3</v>
      </c>
      <c r="F6416" s="1">
        <v>0.12659999999999999</v>
      </c>
      <c r="G6416" s="1">
        <v>3.1699999999999999E-2</v>
      </c>
      <c r="H6416">
        <v>119</v>
      </c>
      <c r="I6416">
        <v>155</v>
      </c>
      <c r="J6416">
        <v>1973</v>
      </c>
    </row>
    <row r="6417" spans="1:10" x14ac:dyDescent="0.25">
      <c r="A6417" t="s">
        <v>199</v>
      </c>
      <c r="B6417" t="s">
        <v>198</v>
      </c>
      <c r="C6417" t="s">
        <v>350</v>
      </c>
      <c r="D6417" t="s">
        <v>1176</v>
      </c>
      <c r="E6417" s="1">
        <v>6.6E-3</v>
      </c>
      <c r="F6417" s="1">
        <v>8.0999999999999996E-3</v>
      </c>
      <c r="G6417" s="1">
        <v>7.9000000000000008E-3</v>
      </c>
      <c r="H6417">
        <v>119</v>
      </c>
      <c r="I6417">
        <v>155</v>
      </c>
      <c r="J6417">
        <v>1973</v>
      </c>
    </row>
    <row r="6418" spans="1:10" x14ac:dyDescent="0.25">
      <c r="A6418" t="s">
        <v>199</v>
      </c>
      <c r="B6418" t="s">
        <v>198</v>
      </c>
      <c r="C6418" t="s">
        <v>350</v>
      </c>
      <c r="D6418" t="s">
        <v>1163</v>
      </c>
      <c r="E6418" s="1">
        <v>3.2099999999999997E-2</v>
      </c>
      <c r="F6418" s="1">
        <v>3.9100000000000003E-2</v>
      </c>
      <c r="G6418" s="1">
        <v>3.9600000000000003E-2</v>
      </c>
      <c r="H6418">
        <v>119</v>
      </c>
      <c r="I6418">
        <v>155</v>
      </c>
      <c r="J6418">
        <v>1973</v>
      </c>
    </row>
    <row r="6419" spans="1:10" x14ac:dyDescent="0.25">
      <c r="A6419" t="s">
        <v>199</v>
      </c>
      <c r="B6419" t="s">
        <v>198</v>
      </c>
      <c r="C6419" t="s">
        <v>350</v>
      </c>
      <c r="D6419" t="s">
        <v>1164</v>
      </c>
      <c r="E6419" s="1">
        <v>1.24E-2</v>
      </c>
      <c r="F6419" s="1">
        <v>9.7600000000000006E-2</v>
      </c>
      <c r="G6419" s="1">
        <v>9.3200000000000005E-2</v>
      </c>
      <c r="H6419">
        <v>119</v>
      </c>
      <c r="I6419">
        <v>155</v>
      </c>
      <c r="J6419">
        <v>1973</v>
      </c>
    </row>
    <row r="6420" spans="1:10" x14ac:dyDescent="0.25">
      <c r="A6420" t="s">
        <v>199</v>
      </c>
      <c r="B6420" t="s">
        <v>198</v>
      </c>
      <c r="C6420" t="s">
        <v>350</v>
      </c>
      <c r="D6420" t="s">
        <v>1165</v>
      </c>
      <c r="E6420" s="1">
        <v>1.4999999999999999E-2</v>
      </c>
      <c r="F6420" s="1">
        <v>6.0999999999999999E-2</v>
      </c>
      <c r="G6420" s="1">
        <v>7.0900000000000005E-2</v>
      </c>
      <c r="H6420">
        <v>119</v>
      </c>
      <c r="I6420">
        <v>155</v>
      </c>
      <c r="J6420">
        <v>1973</v>
      </c>
    </row>
    <row r="6421" spans="1:10" x14ac:dyDescent="0.25">
      <c r="A6421" t="s">
        <v>199</v>
      </c>
      <c r="B6421" t="s">
        <v>198</v>
      </c>
      <c r="C6421" t="s">
        <v>350</v>
      </c>
      <c r="D6421" t="s">
        <v>1177</v>
      </c>
      <c r="E6421" s="1">
        <v>7.4999999999999997E-3</v>
      </c>
      <c r="G6421" s="1">
        <v>2.1999999999999999E-2</v>
      </c>
      <c r="H6421">
        <v>119</v>
      </c>
      <c r="I6421">
        <v>155</v>
      </c>
      <c r="J6421">
        <v>1973</v>
      </c>
    </row>
    <row r="6422" spans="1:10" x14ac:dyDescent="0.25">
      <c r="A6422" t="s">
        <v>199</v>
      </c>
      <c r="B6422" t="s">
        <v>198</v>
      </c>
      <c r="C6422" t="s">
        <v>350</v>
      </c>
      <c r="D6422" t="s">
        <v>1166</v>
      </c>
      <c r="E6422" s="1">
        <v>1.09E-2</v>
      </c>
      <c r="F6422" s="1">
        <v>2.9000000000000001E-2</v>
      </c>
      <c r="G6422" s="1">
        <v>0.1802</v>
      </c>
      <c r="H6422">
        <v>119</v>
      </c>
      <c r="I6422">
        <v>155</v>
      </c>
      <c r="J6422">
        <v>1973</v>
      </c>
    </row>
    <row r="6423" spans="1:10" x14ac:dyDescent="0.25">
      <c r="A6423" t="s">
        <v>199</v>
      </c>
      <c r="B6423" t="s">
        <v>198</v>
      </c>
      <c r="C6423" t="s">
        <v>350</v>
      </c>
      <c r="D6423" t="s">
        <v>1168</v>
      </c>
      <c r="E6423" s="1">
        <v>2.35E-2</v>
      </c>
      <c r="F6423" s="1">
        <v>2.2800000000000001E-2</v>
      </c>
      <c r="G6423" s="1">
        <v>4.36E-2</v>
      </c>
      <c r="H6423">
        <v>119</v>
      </c>
      <c r="I6423">
        <v>155</v>
      </c>
      <c r="J6423">
        <v>1973</v>
      </c>
    </row>
    <row r="6424" spans="1:10" x14ac:dyDescent="0.25">
      <c r="A6424" t="s">
        <v>199</v>
      </c>
      <c r="B6424" t="s">
        <v>198</v>
      </c>
      <c r="C6424" t="s">
        <v>350</v>
      </c>
      <c r="D6424" t="s">
        <v>1170</v>
      </c>
      <c r="E6424" s="1">
        <v>1.09E-2</v>
      </c>
      <c r="F6424" s="1">
        <v>1.23E-2</v>
      </c>
      <c r="G6424" s="1">
        <v>2.7E-2</v>
      </c>
      <c r="H6424">
        <v>119</v>
      </c>
      <c r="I6424">
        <v>155</v>
      </c>
      <c r="J6424">
        <v>1973</v>
      </c>
    </row>
    <row r="6425" spans="1:10" x14ac:dyDescent="0.25">
      <c r="A6425" t="s">
        <v>199</v>
      </c>
      <c r="B6425" t="s">
        <v>198</v>
      </c>
      <c r="C6425" t="s">
        <v>350</v>
      </c>
      <c r="D6425" t="s">
        <v>1180</v>
      </c>
      <c r="E6425" s="1">
        <v>3.5000000000000001E-3</v>
      </c>
      <c r="F6425" s="1">
        <v>1.67E-2</v>
      </c>
      <c r="G6425" s="1">
        <v>3.04E-2</v>
      </c>
      <c r="H6425">
        <v>119</v>
      </c>
      <c r="I6425">
        <v>155</v>
      </c>
      <c r="J6425">
        <v>1973</v>
      </c>
    </row>
    <row r="6426" spans="1:10" x14ac:dyDescent="0.25">
      <c r="A6426" t="s">
        <v>199</v>
      </c>
      <c r="B6426" t="s">
        <v>198</v>
      </c>
      <c r="C6426" t="s">
        <v>350</v>
      </c>
      <c r="D6426" t="s">
        <v>1172</v>
      </c>
      <c r="E6426" s="1">
        <v>0.38090000000000002</v>
      </c>
      <c r="F6426" s="1">
        <v>0.3619</v>
      </c>
      <c r="G6426" s="1">
        <v>8.6800000000000002E-2</v>
      </c>
      <c r="H6426">
        <v>119</v>
      </c>
      <c r="I6426">
        <v>155</v>
      </c>
      <c r="J6426">
        <v>1973</v>
      </c>
    </row>
    <row r="6427" spans="1:10" x14ac:dyDescent="0.25">
      <c r="A6427" t="s">
        <v>199</v>
      </c>
      <c r="B6427" t="s">
        <v>198</v>
      </c>
      <c r="C6427" t="s">
        <v>350</v>
      </c>
      <c r="D6427" t="s">
        <v>1173</v>
      </c>
      <c r="E6427" s="1">
        <v>0.48499999999999999</v>
      </c>
      <c r="F6427" s="1">
        <v>0.1023</v>
      </c>
      <c r="G6427" s="1">
        <v>2.6200000000000001E-2</v>
      </c>
      <c r="H6427">
        <v>119</v>
      </c>
      <c r="I6427">
        <v>155</v>
      </c>
      <c r="J6427">
        <v>1973</v>
      </c>
    </row>
    <row r="6428" spans="1:10" x14ac:dyDescent="0.25">
      <c r="A6428" t="s">
        <v>200</v>
      </c>
      <c r="B6428" t="s">
        <v>198</v>
      </c>
      <c r="C6428" t="s">
        <v>348</v>
      </c>
      <c r="D6428" t="s">
        <v>1174</v>
      </c>
      <c r="E6428" s="1">
        <v>7.3000000000000001E-3</v>
      </c>
      <c r="F6428" s="1">
        <v>1.0800000000000001E-2</v>
      </c>
      <c r="G6428" s="1">
        <v>1.6799999999999999E-2</v>
      </c>
      <c r="H6428">
        <v>204</v>
      </c>
      <c r="I6428">
        <v>171</v>
      </c>
      <c r="J6428">
        <v>1973</v>
      </c>
    </row>
    <row r="6429" spans="1:10" x14ac:dyDescent="0.25">
      <c r="A6429" t="s">
        <v>200</v>
      </c>
      <c r="B6429" t="s">
        <v>198</v>
      </c>
      <c r="C6429" t="s">
        <v>348</v>
      </c>
      <c r="D6429" t="s">
        <v>220</v>
      </c>
      <c r="E6429" s="1">
        <v>7.4000000000000003E-3</v>
      </c>
      <c r="F6429" s="1">
        <v>6.2100000000000002E-2</v>
      </c>
      <c r="G6429" s="1">
        <v>0.1129</v>
      </c>
      <c r="H6429">
        <v>204</v>
      </c>
      <c r="I6429">
        <v>171</v>
      </c>
      <c r="J6429">
        <v>1973</v>
      </c>
    </row>
    <row r="6430" spans="1:10" x14ac:dyDescent="0.25">
      <c r="A6430" t="s">
        <v>200</v>
      </c>
      <c r="B6430" t="s">
        <v>198</v>
      </c>
      <c r="C6430" t="s">
        <v>348</v>
      </c>
      <c r="D6430" t="s">
        <v>1175</v>
      </c>
      <c r="E6430" s="1">
        <v>9.5999999999999992E-3</v>
      </c>
      <c r="F6430" s="1">
        <v>4.3700000000000003E-2</v>
      </c>
      <c r="G6430" s="1">
        <v>0.11559999999999999</v>
      </c>
      <c r="H6430">
        <v>204</v>
      </c>
      <c r="I6430">
        <v>171</v>
      </c>
      <c r="J6430">
        <v>1973</v>
      </c>
    </row>
    <row r="6431" spans="1:10" x14ac:dyDescent="0.25">
      <c r="A6431" t="s">
        <v>200</v>
      </c>
      <c r="B6431" t="s">
        <v>198</v>
      </c>
      <c r="C6431" t="s">
        <v>348</v>
      </c>
      <c r="D6431" t="s">
        <v>1176</v>
      </c>
      <c r="E6431" s="1">
        <v>2.8E-3</v>
      </c>
      <c r="F6431" s="1">
        <v>1.15E-2</v>
      </c>
      <c r="H6431">
        <v>204</v>
      </c>
      <c r="I6431">
        <v>171</v>
      </c>
      <c r="J6431">
        <v>1973</v>
      </c>
    </row>
    <row r="6432" spans="1:10" x14ac:dyDescent="0.25">
      <c r="A6432" t="s">
        <v>200</v>
      </c>
      <c r="B6432" t="s">
        <v>198</v>
      </c>
      <c r="C6432" t="s">
        <v>348</v>
      </c>
      <c r="D6432" t="s">
        <v>1163</v>
      </c>
      <c r="E6432" s="1">
        <v>0.1205</v>
      </c>
      <c r="F6432" s="1">
        <v>7.9399999999999998E-2</v>
      </c>
      <c r="G6432" s="1">
        <v>6.0499999999999998E-2</v>
      </c>
      <c r="H6432">
        <v>204</v>
      </c>
      <c r="I6432">
        <v>171</v>
      </c>
      <c r="J6432">
        <v>1973</v>
      </c>
    </row>
    <row r="6433" spans="1:10" x14ac:dyDescent="0.25">
      <c r="A6433" t="s">
        <v>200</v>
      </c>
      <c r="B6433" t="s">
        <v>198</v>
      </c>
      <c r="C6433" t="s">
        <v>348</v>
      </c>
      <c r="D6433" t="s">
        <v>1164</v>
      </c>
      <c r="E6433" s="1">
        <v>7.3200000000000001E-2</v>
      </c>
      <c r="F6433" s="1">
        <v>0.158</v>
      </c>
      <c r="G6433" s="1">
        <v>0.12089999999999999</v>
      </c>
      <c r="H6433">
        <v>204</v>
      </c>
      <c r="I6433">
        <v>171</v>
      </c>
      <c r="J6433">
        <v>1973</v>
      </c>
    </row>
    <row r="6434" spans="1:10" x14ac:dyDescent="0.25">
      <c r="A6434" t="s">
        <v>200</v>
      </c>
      <c r="B6434" t="s">
        <v>198</v>
      </c>
      <c r="C6434" t="s">
        <v>348</v>
      </c>
      <c r="D6434" t="s">
        <v>1165</v>
      </c>
      <c r="E6434" s="1">
        <v>3.3799999999999997E-2</v>
      </c>
      <c r="F6434" s="1">
        <v>8.9399999999999993E-2</v>
      </c>
      <c r="G6434" s="1">
        <v>7.3700000000000002E-2</v>
      </c>
      <c r="H6434">
        <v>204</v>
      </c>
      <c r="I6434">
        <v>171</v>
      </c>
      <c r="J6434">
        <v>1973</v>
      </c>
    </row>
    <row r="6435" spans="1:10" x14ac:dyDescent="0.25">
      <c r="A6435" t="s">
        <v>200</v>
      </c>
      <c r="B6435" t="s">
        <v>198</v>
      </c>
      <c r="C6435" t="s">
        <v>348</v>
      </c>
      <c r="D6435" t="s">
        <v>1166</v>
      </c>
      <c r="E6435" s="1">
        <v>4.9200000000000001E-2</v>
      </c>
      <c r="F6435" s="1">
        <v>7.8600000000000003E-2</v>
      </c>
      <c r="G6435" s="1">
        <v>0.1026</v>
      </c>
      <c r="H6435">
        <v>204</v>
      </c>
      <c r="I6435">
        <v>171</v>
      </c>
      <c r="J6435">
        <v>1973</v>
      </c>
    </row>
    <row r="6436" spans="1:10" x14ac:dyDescent="0.25">
      <c r="A6436" t="s">
        <v>200</v>
      </c>
      <c r="B6436" t="s">
        <v>198</v>
      </c>
      <c r="C6436" t="s">
        <v>348</v>
      </c>
      <c r="D6436" t="s">
        <v>1167</v>
      </c>
      <c r="E6436" s="1">
        <v>7.3000000000000001E-3</v>
      </c>
      <c r="H6436">
        <v>204</v>
      </c>
      <c r="I6436">
        <v>171</v>
      </c>
      <c r="J6436">
        <v>1973</v>
      </c>
    </row>
    <row r="6437" spans="1:10" x14ac:dyDescent="0.25">
      <c r="A6437" t="s">
        <v>200</v>
      </c>
      <c r="B6437" t="s">
        <v>198</v>
      </c>
      <c r="C6437" t="s">
        <v>348</v>
      </c>
      <c r="D6437" t="s">
        <v>1168</v>
      </c>
      <c r="E6437" s="1">
        <v>1.5299999999999999E-2</v>
      </c>
      <c r="F6437" s="1">
        <v>6.0100000000000001E-2</v>
      </c>
      <c r="G6437" s="1">
        <v>3.95E-2</v>
      </c>
      <c r="H6437">
        <v>204</v>
      </c>
      <c r="I6437">
        <v>171</v>
      </c>
      <c r="J6437">
        <v>1973</v>
      </c>
    </row>
    <row r="6438" spans="1:10" x14ac:dyDescent="0.25">
      <c r="A6438" t="s">
        <v>200</v>
      </c>
      <c r="B6438" t="s">
        <v>198</v>
      </c>
      <c r="C6438" t="s">
        <v>348</v>
      </c>
      <c r="D6438" t="s">
        <v>1170</v>
      </c>
      <c r="E6438" s="1">
        <v>7.3000000000000001E-3</v>
      </c>
      <c r="F6438" s="1">
        <v>3.3999999999999998E-3</v>
      </c>
      <c r="G6438" s="1">
        <v>7.2099999999999997E-2</v>
      </c>
      <c r="H6438">
        <v>204</v>
      </c>
      <c r="I6438">
        <v>171</v>
      </c>
      <c r="J6438">
        <v>1973</v>
      </c>
    </row>
    <row r="6439" spans="1:10" x14ac:dyDescent="0.25">
      <c r="A6439" t="s">
        <v>200</v>
      </c>
      <c r="B6439" t="s">
        <v>198</v>
      </c>
      <c r="C6439" t="s">
        <v>348</v>
      </c>
      <c r="D6439" t="s">
        <v>1180</v>
      </c>
      <c r="E6439" s="1">
        <v>1.46E-2</v>
      </c>
      <c r="F6439" s="1">
        <v>3.4500000000000003E-2</v>
      </c>
      <c r="G6439" s="1">
        <v>2.3199999999999998E-2</v>
      </c>
      <c r="H6439">
        <v>204</v>
      </c>
      <c r="I6439">
        <v>171</v>
      </c>
      <c r="J6439">
        <v>1973</v>
      </c>
    </row>
    <row r="6440" spans="1:10" x14ac:dyDescent="0.25">
      <c r="A6440" t="s">
        <v>200</v>
      </c>
      <c r="B6440" t="s">
        <v>198</v>
      </c>
      <c r="C6440" t="s">
        <v>348</v>
      </c>
      <c r="D6440" t="s">
        <v>1172</v>
      </c>
      <c r="E6440" s="1">
        <v>0.38319999999999999</v>
      </c>
      <c r="F6440" s="1">
        <v>0.26800000000000002</v>
      </c>
      <c r="G6440" s="1">
        <v>0.13370000000000001</v>
      </c>
      <c r="H6440">
        <v>204</v>
      </c>
      <c r="I6440">
        <v>171</v>
      </c>
      <c r="J6440">
        <v>1973</v>
      </c>
    </row>
    <row r="6441" spans="1:10" x14ac:dyDescent="0.25">
      <c r="A6441" t="s">
        <v>200</v>
      </c>
      <c r="B6441" t="s">
        <v>198</v>
      </c>
      <c r="C6441" t="s">
        <v>348</v>
      </c>
      <c r="D6441" t="s">
        <v>1173</v>
      </c>
      <c r="E6441" s="1">
        <v>0.26129999999999998</v>
      </c>
      <c r="F6441" s="1">
        <v>5.45E-2</v>
      </c>
      <c r="G6441" s="1">
        <v>4.0099999999999997E-2</v>
      </c>
      <c r="H6441">
        <v>204</v>
      </c>
      <c r="I6441">
        <v>171</v>
      </c>
      <c r="J6441">
        <v>1973</v>
      </c>
    </row>
    <row r="6442" spans="1:10" x14ac:dyDescent="0.25">
      <c r="A6442" t="s">
        <v>200</v>
      </c>
      <c r="B6442" t="s">
        <v>198</v>
      </c>
      <c r="C6442" t="s">
        <v>348</v>
      </c>
      <c r="D6442" t="s">
        <v>235</v>
      </c>
      <c r="E6442" s="1">
        <v>4.5999999999999999E-3</v>
      </c>
      <c r="F6442" s="1">
        <v>2.0500000000000001E-2</v>
      </c>
      <c r="H6442">
        <v>204</v>
      </c>
      <c r="I6442">
        <v>171</v>
      </c>
      <c r="J6442">
        <v>1973</v>
      </c>
    </row>
    <row r="6443" spans="1:10" x14ac:dyDescent="0.25">
      <c r="A6443" t="s">
        <v>200</v>
      </c>
      <c r="B6443" t="s">
        <v>198</v>
      </c>
      <c r="C6443" t="s">
        <v>348</v>
      </c>
      <c r="D6443" t="s">
        <v>215</v>
      </c>
      <c r="E6443" s="1">
        <v>2.8E-3</v>
      </c>
      <c r="H6443">
        <v>204</v>
      </c>
      <c r="I6443">
        <v>171</v>
      </c>
      <c r="J6443">
        <v>1973</v>
      </c>
    </row>
    <row r="6444" spans="1:10" x14ac:dyDescent="0.25">
      <c r="A6444" t="s">
        <v>200</v>
      </c>
      <c r="B6444" t="s">
        <v>198</v>
      </c>
      <c r="C6444" t="s">
        <v>349</v>
      </c>
      <c r="D6444" t="s">
        <v>220</v>
      </c>
      <c r="E6444" s="1">
        <v>2.12E-2</v>
      </c>
      <c r="F6444" s="1">
        <v>3.6900000000000002E-2</v>
      </c>
      <c r="G6444" s="1">
        <v>2.3800000000000002E-2</v>
      </c>
      <c r="H6444">
        <v>14</v>
      </c>
      <c r="I6444">
        <v>48</v>
      </c>
      <c r="J6444">
        <v>1973</v>
      </c>
    </row>
    <row r="6445" spans="1:10" x14ac:dyDescent="0.25">
      <c r="A6445" t="s">
        <v>200</v>
      </c>
      <c r="B6445" t="s">
        <v>198</v>
      </c>
      <c r="C6445" t="s">
        <v>349</v>
      </c>
      <c r="D6445" t="s">
        <v>1176</v>
      </c>
      <c r="E6445" s="1">
        <v>1.4800000000000001E-2</v>
      </c>
      <c r="G6445" s="1">
        <v>2.8999999999999998E-3</v>
      </c>
      <c r="H6445">
        <v>14</v>
      </c>
      <c r="I6445">
        <v>48</v>
      </c>
      <c r="J6445">
        <v>1973</v>
      </c>
    </row>
    <row r="6446" spans="1:10" x14ac:dyDescent="0.25">
      <c r="A6446" t="s">
        <v>200</v>
      </c>
      <c r="B6446" t="s">
        <v>198</v>
      </c>
      <c r="C6446" t="s">
        <v>349</v>
      </c>
      <c r="D6446" t="s">
        <v>1163</v>
      </c>
      <c r="E6446" s="1">
        <v>3.8100000000000002E-2</v>
      </c>
      <c r="F6446" s="1">
        <v>5.7700000000000001E-2</v>
      </c>
      <c r="G6446" s="1">
        <v>0.1278</v>
      </c>
      <c r="H6446">
        <v>14</v>
      </c>
      <c r="I6446">
        <v>48</v>
      </c>
      <c r="J6446">
        <v>1973</v>
      </c>
    </row>
    <row r="6447" spans="1:10" x14ac:dyDescent="0.25">
      <c r="A6447" t="s">
        <v>200</v>
      </c>
      <c r="B6447" t="s">
        <v>198</v>
      </c>
      <c r="C6447" t="s">
        <v>349</v>
      </c>
      <c r="D6447" t="s">
        <v>1164</v>
      </c>
      <c r="E6447" s="1">
        <v>1.4800000000000001E-2</v>
      </c>
      <c r="F6447" s="1">
        <v>5.3699999999999998E-2</v>
      </c>
      <c r="G6447" s="1">
        <v>0.21310000000000001</v>
      </c>
      <c r="H6447">
        <v>14</v>
      </c>
      <c r="I6447">
        <v>48</v>
      </c>
      <c r="J6447">
        <v>1973</v>
      </c>
    </row>
    <row r="6448" spans="1:10" x14ac:dyDescent="0.25">
      <c r="A6448" t="s">
        <v>200</v>
      </c>
      <c r="B6448" t="s">
        <v>198</v>
      </c>
      <c r="C6448" t="s">
        <v>349</v>
      </c>
      <c r="D6448" t="s">
        <v>1177</v>
      </c>
      <c r="E6448" s="1">
        <v>0.10059999999999999</v>
      </c>
      <c r="H6448">
        <v>14</v>
      </c>
      <c r="I6448">
        <v>48</v>
      </c>
      <c r="J6448">
        <v>1973</v>
      </c>
    </row>
    <row r="6449" spans="1:10" x14ac:dyDescent="0.25">
      <c r="A6449" t="s">
        <v>200</v>
      </c>
      <c r="B6449" t="s">
        <v>198</v>
      </c>
      <c r="C6449" t="s">
        <v>349</v>
      </c>
      <c r="D6449" t="s">
        <v>1166</v>
      </c>
      <c r="E6449" s="1">
        <v>1.89E-2</v>
      </c>
      <c r="F6449" s="1">
        <v>0.44719999999999999</v>
      </c>
      <c r="G6449" s="1">
        <v>5.8999999999999999E-3</v>
      </c>
      <c r="H6449">
        <v>14</v>
      </c>
      <c r="I6449">
        <v>48</v>
      </c>
      <c r="J6449">
        <v>1973</v>
      </c>
    </row>
    <row r="6450" spans="1:10" x14ac:dyDescent="0.25">
      <c r="A6450" t="s">
        <v>200</v>
      </c>
      <c r="B6450" t="s">
        <v>198</v>
      </c>
      <c r="C6450" t="s">
        <v>349</v>
      </c>
      <c r="D6450" t="s">
        <v>1169</v>
      </c>
      <c r="E6450" s="1">
        <v>2.3E-3</v>
      </c>
      <c r="H6450">
        <v>14</v>
      </c>
      <c r="I6450">
        <v>48</v>
      </c>
      <c r="J6450">
        <v>1973</v>
      </c>
    </row>
    <row r="6451" spans="1:10" x14ac:dyDescent="0.25">
      <c r="A6451" t="s">
        <v>200</v>
      </c>
      <c r="B6451" t="s">
        <v>198</v>
      </c>
      <c r="C6451" t="s">
        <v>349</v>
      </c>
      <c r="D6451" t="s">
        <v>1172</v>
      </c>
      <c r="E6451" s="1">
        <v>0.65069999999999995</v>
      </c>
      <c r="F6451" s="1">
        <v>4.0500000000000001E-2</v>
      </c>
      <c r="G6451" s="1">
        <v>3.7499999999999999E-2</v>
      </c>
      <c r="H6451">
        <v>14</v>
      </c>
      <c r="I6451">
        <v>48</v>
      </c>
      <c r="J6451">
        <v>1973</v>
      </c>
    </row>
    <row r="6452" spans="1:10" x14ac:dyDescent="0.25">
      <c r="A6452" t="s">
        <v>200</v>
      </c>
      <c r="B6452" t="s">
        <v>198</v>
      </c>
      <c r="C6452" t="s">
        <v>349</v>
      </c>
      <c r="D6452" t="s">
        <v>1173</v>
      </c>
      <c r="E6452" s="1">
        <v>0.12379999999999999</v>
      </c>
      <c r="F6452" s="1">
        <v>9.35E-2</v>
      </c>
      <c r="G6452" s="1">
        <v>6.1499999999999999E-2</v>
      </c>
      <c r="H6452">
        <v>14</v>
      </c>
      <c r="I6452">
        <v>48</v>
      </c>
      <c r="J6452">
        <v>1973</v>
      </c>
    </row>
    <row r="6453" spans="1:10" x14ac:dyDescent="0.25">
      <c r="A6453" t="s">
        <v>200</v>
      </c>
      <c r="B6453" t="s">
        <v>198</v>
      </c>
      <c r="C6453" t="s">
        <v>349</v>
      </c>
      <c r="D6453" t="s">
        <v>235</v>
      </c>
      <c r="E6453" s="1">
        <v>1.4800000000000001E-2</v>
      </c>
      <c r="H6453">
        <v>14</v>
      </c>
      <c r="I6453">
        <v>48</v>
      </c>
      <c r="J6453">
        <v>1973</v>
      </c>
    </row>
    <row r="6454" spans="1:10" x14ac:dyDescent="0.25">
      <c r="A6454" t="s">
        <v>200</v>
      </c>
      <c r="B6454" t="s">
        <v>198</v>
      </c>
      <c r="C6454" t="s">
        <v>350</v>
      </c>
      <c r="D6454" t="s">
        <v>220</v>
      </c>
      <c r="E6454" s="1">
        <v>1.55E-2</v>
      </c>
      <c r="F6454" s="1">
        <v>6.8999999999999999E-3</v>
      </c>
      <c r="G6454" s="1">
        <v>2.5999999999999999E-2</v>
      </c>
      <c r="H6454">
        <v>17</v>
      </c>
      <c r="I6454">
        <v>61</v>
      </c>
      <c r="J6454">
        <v>1973</v>
      </c>
    </row>
    <row r="6455" spans="1:10" x14ac:dyDescent="0.25">
      <c r="A6455" t="s">
        <v>200</v>
      </c>
      <c r="B6455" t="s">
        <v>198</v>
      </c>
      <c r="C6455" t="s">
        <v>350</v>
      </c>
      <c r="D6455" t="s">
        <v>1176</v>
      </c>
      <c r="E6455" s="1">
        <v>1.9E-3</v>
      </c>
      <c r="F6455" s="1">
        <v>3.49E-2</v>
      </c>
      <c r="G6455" s="1">
        <v>2.8E-3</v>
      </c>
      <c r="H6455">
        <v>17</v>
      </c>
      <c r="I6455">
        <v>61</v>
      </c>
      <c r="J6455">
        <v>1973</v>
      </c>
    </row>
    <row r="6456" spans="1:10" x14ac:dyDescent="0.25">
      <c r="A6456" t="s">
        <v>200</v>
      </c>
      <c r="B6456" t="s">
        <v>198</v>
      </c>
      <c r="C6456" t="s">
        <v>350</v>
      </c>
      <c r="D6456" t="s">
        <v>1163</v>
      </c>
      <c r="E6456" s="1">
        <v>7.3700000000000002E-2</v>
      </c>
      <c r="F6456" s="1">
        <v>9.8500000000000004E-2</v>
      </c>
      <c r="G6456" s="1">
        <v>0.114</v>
      </c>
      <c r="H6456">
        <v>17</v>
      </c>
      <c r="I6456">
        <v>61</v>
      </c>
      <c r="J6456">
        <v>1973</v>
      </c>
    </row>
    <row r="6457" spans="1:10" x14ac:dyDescent="0.25">
      <c r="A6457" t="s">
        <v>200</v>
      </c>
      <c r="B6457" t="s">
        <v>198</v>
      </c>
      <c r="C6457" t="s">
        <v>350</v>
      </c>
      <c r="D6457" t="s">
        <v>1165</v>
      </c>
      <c r="E6457" s="1">
        <v>3.0800000000000001E-2</v>
      </c>
      <c r="F6457" s="1">
        <v>2.7900000000000001E-2</v>
      </c>
      <c r="G6457" s="1">
        <v>8.8499999999999995E-2</v>
      </c>
      <c r="H6457">
        <v>17</v>
      </c>
      <c r="I6457">
        <v>61</v>
      </c>
      <c r="J6457">
        <v>1973</v>
      </c>
    </row>
    <row r="6458" spans="1:10" x14ac:dyDescent="0.25">
      <c r="A6458" t="s">
        <v>200</v>
      </c>
      <c r="B6458" t="s">
        <v>198</v>
      </c>
      <c r="C6458" t="s">
        <v>350</v>
      </c>
      <c r="D6458" t="s">
        <v>1178</v>
      </c>
      <c r="E6458" s="1">
        <v>1.9E-3</v>
      </c>
      <c r="H6458">
        <v>17</v>
      </c>
      <c r="I6458">
        <v>61</v>
      </c>
      <c r="J6458">
        <v>1973</v>
      </c>
    </row>
    <row r="6459" spans="1:10" x14ac:dyDescent="0.25">
      <c r="A6459" t="s">
        <v>200</v>
      </c>
      <c r="B6459" t="s">
        <v>198</v>
      </c>
      <c r="C6459" t="s">
        <v>350</v>
      </c>
      <c r="D6459" t="s">
        <v>1179</v>
      </c>
      <c r="E6459" s="1">
        <v>1.9E-3</v>
      </c>
      <c r="F6459" s="1">
        <v>1.8700000000000001E-2</v>
      </c>
      <c r="G6459" s="1">
        <v>5.7000000000000002E-3</v>
      </c>
      <c r="H6459">
        <v>17</v>
      </c>
      <c r="I6459">
        <v>61</v>
      </c>
      <c r="J6459">
        <v>1973</v>
      </c>
    </row>
    <row r="6460" spans="1:10" x14ac:dyDescent="0.25">
      <c r="A6460" t="s">
        <v>200</v>
      </c>
      <c r="B6460" t="s">
        <v>198</v>
      </c>
      <c r="C6460" t="s">
        <v>350</v>
      </c>
      <c r="D6460" t="s">
        <v>1166</v>
      </c>
      <c r="E6460" s="1">
        <v>1.7399999999999999E-2</v>
      </c>
      <c r="F6460" s="1">
        <v>0.14829999999999999</v>
      </c>
      <c r="G6460" s="1">
        <v>0.1026</v>
      </c>
      <c r="H6460">
        <v>17</v>
      </c>
      <c r="I6460">
        <v>61</v>
      </c>
      <c r="J6460">
        <v>1973</v>
      </c>
    </row>
    <row r="6461" spans="1:10" x14ac:dyDescent="0.25">
      <c r="A6461" t="s">
        <v>200</v>
      </c>
      <c r="B6461" t="s">
        <v>198</v>
      </c>
      <c r="C6461" t="s">
        <v>350</v>
      </c>
      <c r="D6461" t="s">
        <v>1170</v>
      </c>
      <c r="E6461" s="1">
        <v>1.9E-3</v>
      </c>
      <c r="G6461" s="1">
        <v>6.54E-2</v>
      </c>
      <c r="H6461">
        <v>17</v>
      </c>
      <c r="I6461">
        <v>61</v>
      </c>
      <c r="J6461">
        <v>1973</v>
      </c>
    </row>
    <row r="6462" spans="1:10" x14ac:dyDescent="0.25">
      <c r="A6462" t="s">
        <v>200</v>
      </c>
      <c r="B6462" t="s">
        <v>198</v>
      </c>
      <c r="C6462" t="s">
        <v>350</v>
      </c>
      <c r="D6462" t="s">
        <v>1180</v>
      </c>
      <c r="E6462" s="1">
        <v>4.3700000000000003E-2</v>
      </c>
      <c r="F6462" s="1">
        <v>2.3E-3</v>
      </c>
      <c r="G6462" s="1">
        <v>8.8499999999999995E-2</v>
      </c>
      <c r="H6462">
        <v>17</v>
      </c>
      <c r="I6462">
        <v>61</v>
      </c>
      <c r="J6462">
        <v>1973</v>
      </c>
    </row>
    <row r="6463" spans="1:10" x14ac:dyDescent="0.25">
      <c r="A6463" t="s">
        <v>200</v>
      </c>
      <c r="B6463" t="s">
        <v>198</v>
      </c>
      <c r="C6463" t="s">
        <v>350</v>
      </c>
      <c r="D6463" t="s">
        <v>1172</v>
      </c>
      <c r="E6463" s="1">
        <v>0.47310000000000002</v>
      </c>
      <c r="F6463" s="1">
        <v>0.2072</v>
      </c>
      <c r="G6463" s="1">
        <v>0.1371</v>
      </c>
      <c r="H6463">
        <v>17</v>
      </c>
      <c r="I6463">
        <v>61</v>
      </c>
      <c r="J6463">
        <v>1973</v>
      </c>
    </row>
    <row r="6464" spans="1:10" x14ac:dyDescent="0.25">
      <c r="A6464" t="s">
        <v>200</v>
      </c>
      <c r="B6464" t="s">
        <v>198</v>
      </c>
      <c r="C6464" t="s">
        <v>350</v>
      </c>
      <c r="D6464" t="s">
        <v>1173</v>
      </c>
      <c r="E6464" s="1">
        <v>0.3382</v>
      </c>
      <c r="F6464" s="1">
        <v>9.0800000000000006E-2</v>
      </c>
      <c r="G6464" s="1">
        <v>0.10150000000000001</v>
      </c>
      <c r="H6464">
        <v>17</v>
      </c>
      <c r="I6464">
        <v>61</v>
      </c>
      <c r="J6464">
        <v>1973</v>
      </c>
    </row>
    <row r="6465" spans="1:10" x14ac:dyDescent="0.25">
      <c r="A6465" t="s">
        <v>201</v>
      </c>
      <c r="B6465" t="s">
        <v>198</v>
      </c>
      <c r="C6465" t="s">
        <v>348</v>
      </c>
      <c r="D6465" t="s">
        <v>220</v>
      </c>
      <c r="E6465" s="1">
        <v>2.18E-2</v>
      </c>
      <c r="G6465" s="1">
        <v>5.4800000000000001E-2</v>
      </c>
      <c r="H6465">
        <v>20</v>
      </c>
      <c r="I6465">
        <v>41</v>
      </c>
      <c r="J6465">
        <v>1973</v>
      </c>
    </row>
    <row r="6466" spans="1:10" x14ac:dyDescent="0.25">
      <c r="A6466" t="s">
        <v>201</v>
      </c>
      <c r="B6466" t="s">
        <v>198</v>
      </c>
      <c r="C6466" t="s">
        <v>348</v>
      </c>
      <c r="D6466" t="s">
        <v>1176</v>
      </c>
      <c r="E6466" s="1">
        <v>3.5200000000000002E-2</v>
      </c>
      <c r="F6466" s="1">
        <v>1.0800000000000001E-2</v>
      </c>
      <c r="G6466" s="1">
        <v>9.9900000000000003E-2</v>
      </c>
      <c r="H6466">
        <v>20</v>
      </c>
      <c r="I6466">
        <v>41</v>
      </c>
      <c r="J6466">
        <v>1973</v>
      </c>
    </row>
    <row r="6467" spans="1:10" x14ac:dyDescent="0.25">
      <c r="A6467" t="s">
        <v>201</v>
      </c>
      <c r="B6467" t="s">
        <v>198</v>
      </c>
      <c r="C6467" t="s">
        <v>348</v>
      </c>
      <c r="D6467" t="s">
        <v>1164</v>
      </c>
      <c r="E6467" s="1">
        <v>4.5900000000000003E-2</v>
      </c>
      <c r="G6467" s="1">
        <v>6.3600000000000004E-2</v>
      </c>
      <c r="H6467">
        <v>20</v>
      </c>
      <c r="I6467">
        <v>41</v>
      </c>
      <c r="J6467">
        <v>1973</v>
      </c>
    </row>
    <row r="6468" spans="1:10" x14ac:dyDescent="0.25">
      <c r="A6468" t="s">
        <v>201</v>
      </c>
      <c r="B6468" t="s">
        <v>198</v>
      </c>
      <c r="C6468" t="s">
        <v>348</v>
      </c>
      <c r="D6468" t="s">
        <v>1165</v>
      </c>
      <c r="E6468" s="1">
        <v>0.1033</v>
      </c>
      <c r="F6468" s="1">
        <v>3.5999999999999997E-2</v>
      </c>
      <c r="H6468">
        <v>20</v>
      </c>
      <c r="I6468">
        <v>41</v>
      </c>
      <c r="J6468">
        <v>1973</v>
      </c>
    </row>
    <row r="6469" spans="1:10" x14ac:dyDescent="0.25">
      <c r="A6469" t="s">
        <v>201</v>
      </c>
      <c r="B6469" t="s">
        <v>198</v>
      </c>
      <c r="C6469" t="s">
        <v>348</v>
      </c>
      <c r="D6469" t="s">
        <v>1166</v>
      </c>
      <c r="E6469" s="1">
        <v>0.19689999999999999</v>
      </c>
      <c r="F6469" s="1">
        <v>0.16980000000000001</v>
      </c>
      <c r="G6469" s="1">
        <v>0.13220000000000001</v>
      </c>
      <c r="H6469">
        <v>20</v>
      </c>
      <c r="I6469">
        <v>41</v>
      </c>
      <c r="J6469">
        <v>1973</v>
      </c>
    </row>
    <row r="6470" spans="1:10" x14ac:dyDescent="0.25">
      <c r="A6470" t="s">
        <v>201</v>
      </c>
      <c r="B6470" t="s">
        <v>198</v>
      </c>
      <c r="C6470" t="s">
        <v>348</v>
      </c>
      <c r="D6470" t="s">
        <v>1168</v>
      </c>
      <c r="E6470" s="1">
        <v>3.04E-2</v>
      </c>
      <c r="F6470" s="1">
        <v>0.19739999999999999</v>
      </c>
      <c r="G6470" s="1">
        <v>8.1799999999999998E-2</v>
      </c>
      <c r="H6470">
        <v>20</v>
      </c>
      <c r="I6470">
        <v>41</v>
      </c>
      <c r="J6470">
        <v>1973</v>
      </c>
    </row>
    <row r="6471" spans="1:10" x14ac:dyDescent="0.25">
      <c r="A6471" t="s">
        <v>201</v>
      </c>
      <c r="B6471" t="s">
        <v>198</v>
      </c>
      <c r="C6471" t="s">
        <v>348</v>
      </c>
      <c r="D6471" t="s">
        <v>1170</v>
      </c>
      <c r="E6471" s="1">
        <v>7.7000000000000002E-3</v>
      </c>
      <c r="F6471" s="1">
        <v>7.7899999999999997E-2</v>
      </c>
      <c r="G6471" s="1">
        <v>6.3600000000000004E-2</v>
      </c>
      <c r="H6471">
        <v>20</v>
      </c>
      <c r="I6471">
        <v>41</v>
      </c>
      <c r="J6471">
        <v>1973</v>
      </c>
    </row>
    <row r="6472" spans="1:10" x14ac:dyDescent="0.25">
      <c r="A6472" t="s">
        <v>201</v>
      </c>
      <c r="B6472" t="s">
        <v>198</v>
      </c>
      <c r="C6472" t="s">
        <v>348</v>
      </c>
      <c r="D6472" t="s">
        <v>1180</v>
      </c>
      <c r="E6472" s="1">
        <v>2.98E-2</v>
      </c>
      <c r="H6472">
        <v>20</v>
      </c>
      <c r="I6472">
        <v>41</v>
      </c>
      <c r="J6472">
        <v>1973</v>
      </c>
    </row>
    <row r="6473" spans="1:10" x14ac:dyDescent="0.25">
      <c r="A6473" t="s">
        <v>201</v>
      </c>
      <c r="B6473" t="s">
        <v>198</v>
      </c>
      <c r="C6473" t="s">
        <v>348</v>
      </c>
      <c r="D6473" t="s">
        <v>1172</v>
      </c>
      <c r="E6473" s="1">
        <v>0.48570000000000002</v>
      </c>
      <c r="F6473" s="1">
        <v>2.52E-2</v>
      </c>
      <c r="G6473" s="1">
        <v>4.6100000000000002E-2</v>
      </c>
      <c r="H6473">
        <v>20</v>
      </c>
      <c r="I6473">
        <v>41</v>
      </c>
      <c r="J6473">
        <v>1973</v>
      </c>
    </row>
    <row r="6474" spans="1:10" x14ac:dyDescent="0.25">
      <c r="A6474" t="s">
        <v>201</v>
      </c>
      <c r="B6474" t="s">
        <v>198</v>
      </c>
      <c r="C6474" t="s">
        <v>348</v>
      </c>
      <c r="D6474" t="s">
        <v>1173</v>
      </c>
      <c r="E6474" s="1">
        <v>4.3400000000000001E-2</v>
      </c>
      <c r="F6474" s="1">
        <v>0.1207</v>
      </c>
      <c r="H6474">
        <v>20</v>
      </c>
      <c r="I6474">
        <v>41</v>
      </c>
      <c r="J6474">
        <v>1973</v>
      </c>
    </row>
    <row r="6475" spans="1:10" x14ac:dyDescent="0.25">
      <c r="A6475" t="s">
        <v>201</v>
      </c>
      <c r="B6475" t="s">
        <v>198</v>
      </c>
      <c r="C6475" t="s">
        <v>349</v>
      </c>
      <c r="D6475" t="s">
        <v>220</v>
      </c>
      <c r="E6475" s="1">
        <v>1.5299999999999999E-2</v>
      </c>
      <c r="F6475" s="1">
        <v>1.6299999999999999E-2</v>
      </c>
      <c r="G6475" s="1">
        <v>5.9700000000000003E-2</v>
      </c>
      <c r="H6475">
        <v>74</v>
      </c>
      <c r="I6475">
        <v>109</v>
      </c>
      <c r="J6475">
        <v>1973</v>
      </c>
    </row>
    <row r="6476" spans="1:10" x14ac:dyDescent="0.25">
      <c r="A6476" t="s">
        <v>201</v>
      </c>
      <c r="B6476" t="s">
        <v>198</v>
      </c>
      <c r="C6476" t="s">
        <v>349</v>
      </c>
      <c r="D6476" t="s">
        <v>1175</v>
      </c>
      <c r="E6476" s="1">
        <v>5.7999999999999996E-3</v>
      </c>
      <c r="F6476" s="1">
        <v>0.12809999999999999</v>
      </c>
      <c r="G6476" s="1">
        <v>3.5200000000000002E-2</v>
      </c>
      <c r="H6476">
        <v>74</v>
      </c>
      <c r="I6476">
        <v>109</v>
      </c>
      <c r="J6476">
        <v>1973</v>
      </c>
    </row>
    <row r="6477" spans="1:10" x14ac:dyDescent="0.25">
      <c r="A6477" t="s">
        <v>201</v>
      </c>
      <c r="B6477" t="s">
        <v>198</v>
      </c>
      <c r="C6477" t="s">
        <v>349</v>
      </c>
      <c r="D6477" t="s">
        <v>1163</v>
      </c>
      <c r="E6477" s="1">
        <v>0.1108</v>
      </c>
      <c r="F6477" s="1">
        <v>0.12939999999999999</v>
      </c>
      <c r="G6477" s="1">
        <v>5.9700000000000003E-2</v>
      </c>
      <c r="H6477">
        <v>74</v>
      </c>
      <c r="I6477">
        <v>109</v>
      </c>
      <c r="J6477">
        <v>1973</v>
      </c>
    </row>
    <row r="6478" spans="1:10" x14ac:dyDescent="0.25">
      <c r="A6478" t="s">
        <v>201</v>
      </c>
      <c r="B6478" t="s">
        <v>198</v>
      </c>
      <c r="C6478" t="s">
        <v>349</v>
      </c>
      <c r="D6478" t="s">
        <v>1181</v>
      </c>
      <c r="E6478" s="1">
        <v>4.7999999999999996E-3</v>
      </c>
      <c r="G6478" s="1">
        <v>1.4999999999999999E-2</v>
      </c>
      <c r="H6478">
        <v>74</v>
      </c>
      <c r="I6478">
        <v>109</v>
      </c>
      <c r="J6478">
        <v>1973</v>
      </c>
    </row>
    <row r="6479" spans="1:10" x14ac:dyDescent="0.25">
      <c r="A6479" t="s">
        <v>201</v>
      </c>
      <c r="B6479" t="s">
        <v>198</v>
      </c>
      <c r="C6479" t="s">
        <v>349</v>
      </c>
      <c r="D6479" t="s">
        <v>1164</v>
      </c>
      <c r="E6479" s="1">
        <v>1.5800000000000002E-2</v>
      </c>
      <c r="F6479" s="1">
        <v>5.0099999999999999E-2</v>
      </c>
      <c r="G6479" s="1">
        <v>0.14979999999999999</v>
      </c>
      <c r="H6479">
        <v>74</v>
      </c>
      <c r="I6479">
        <v>109</v>
      </c>
      <c r="J6479">
        <v>1973</v>
      </c>
    </row>
    <row r="6480" spans="1:10" x14ac:dyDescent="0.25">
      <c r="A6480" t="s">
        <v>201</v>
      </c>
      <c r="B6480" t="s">
        <v>198</v>
      </c>
      <c r="C6480" t="s">
        <v>349</v>
      </c>
      <c r="D6480" t="s">
        <v>1178</v>
      </c>
      <c r="E6480" s="1">
        <v>2E-3</v>
      </c>
      <c r="H6480">
        <v>74</v>
      </c>
      <c r="I6480">
        <v>109</v>
      </c>
      <c r="J6480">
        <v>1973</v>
      </c>
    </row>
    <row r="6481" spans="1:10" x14ac:dyDescent="0.25">
      <c r="A6481" t="s">
        <v>201</v>
      </c>
      <c r="B6481" t="s">
        <v>198</v>
      </c>
      <c r="C6481" t="s">
        <v>349</v>
      </c>
      <c r="D6481" t="s">
        <v>1166</v>
      </c>
      <c r="E6481" s="1">
        <v>1.5299999999999999E-2</v>
      </c>
      <c r="F6481" s="1">
        <v>0.13120000000000001</v>
      </c>
      <c r="G6481" s="1">
        <v>0.1976</v>
      </c>
      <c r="H6481">
        <v>74</v>
      </c>
      <c r="I6481">
        <v>109</v>
      </c>
      <c r="J6481">
        <v>1973</v>
      </c>
    </row>
    <row r="6482" spans="1:10" x14ac:dyDescent="0.25">
      <c r="A6482" t="s">
        <v>201</v>
      </c>
      <c r="B6482" t="s">
        <v>198</v>
      </c>
      <c r="C6482" t="s">
        <v>349</v>
      </c>
      <c r="D6482" t="s">
        <v>1168</v>
      </c>
      <c r="E6482" s="1">
        <v>4.8000000000000001E-2</v>
      </c>
      <c r="F6482" s="1">
        <v>5.3900000000000003E-2</v>
      </c>
      <c r="G6482" s="1">
        <v>0.1512</v>
      </c>
      <c r="H6482">
        <v>74</v>
      </c>
      <c r="I6482">
        <v>109</v>
      </c>
      <c r="J6482">
        <v>1973</v>
      </c>
    </row>
    <row r="6483" spans="1:10" x14ac:dyDescent="0.25">
      <c r="A6483" t="s">
        <v>201</v>
      </c>
      <c r="B6483" t="s">
        <v>198</v>
      </c>
      <c r="C6483" t="s">
        <v>349</v>
      </c>
      <c r="D6483" t="s">
        <v>1170</v>
      </c>
      <c r="E6483" s="1">
        <v>5.0000000000000001E-4</v>
      </c>
      <c r="F6483" s="1">
        <v>2.9600000000000001E-2</v>
      </c>
      <c r="H6483">
        <v>74</v>
      </c>
      <c r="I6483">
        <v>109</v>
      </c>
      <c r="J6483">
        <v>1973</v>
      </c>
    </row>
    <row r="6484" spans="1:10" x14ac:dyDescent="0.25">
      <c r="A6484" t="s">
        <v>201</v>
      </c>
      <c r="B6484" t="s">
        <v>198</v>
      </c>
      <c r="C6484" t="s">
        <v>349</v>
      </c>
      <c r="D6484" t="s">
        <v>1172</v>
      </c>
      <c r="E6484" s="1">
        <v>0.51729999999999998</v>
      </c>
      <c r="F6484" s="1">
        <v>0.19889999999999999</v>
      </c>
      <c r="G6484" s="1">
        <v>0.109</v>
      </c>
      <c r="H6484">
        <v>74</v>
      </c>
      <c r="I6484">
        <v>109</v>
      </c>
      <c r="J6484">
        <v>1973</v>
      </c>
    </row>
    <row r="6485" spans="1:10" x14ac:dyDescent="0.25">
      <c r="A6485" t="s">
        <v>201</v>
      </c>
      <c r="B6485" t="s">
        <v>198</v>
      </c>
      <c r="C6485" t="s">
        <v>349</v>
      </c>
      <c r="D6485" t="s">
        <v>1173</v>
      </c>
      <c r="E6485" s="1">
        <v>0.26429999999999998</v>
      </c>
      <c r="F6485" s="1">
        <v>4.3700000000000003E-2</v>
      </c>
      <c r="H6485">
        <v>74</v>
      </c>
      <c r="I6485">
        <v>109</v>
      </c>
      <c r="J6485">
        <v>1973</v>
      </c>
    </row>
    <row r="6486" spans="1:10" x14ac:dyDescent="0.25">
      <c r="A6486" t="s">
        <v>201</v>
      </c>
      <c r="B6486" t="s">
        <v>198</v>
      </c>
      <c r="C6486" t="s">
        <v>350</v>
      </c>
      <c r="D6486" t="s">
        <v>220</v>
      </c>
      <c r="E6486" s="1">
        <v>9.4999999999999998E-3</v>
      </c>
      <c r="F6486" s="1">
        <v>5.28E-2</v>
      </c>
      <c r="G6486" s="1">
        <v>0.1774</v>
      </c>
      <c r="H6486">
        <v>4</v>
      </c>
      <c r="I6486">
        <v>51</v>
      </c>
      <c r="J6486">
        <v>1973</v>
      </c>
    </row>
    <row r="6487" spans="1:10" x14ac:dyDescent="0.25">
      <c r="A6487" t="s">
        <v>201</v>
      </c>
      <c r="B6487" t="s">
        <v>198</v>
      </c>
      <c r="C6487" t="s">
        <v>350</v>
      </c>
      <c r="D6487" t="s">
        <v>1163</v>
      </c>
      <c r="E6487" s="1">
        <v>0.1305</v>
      </c>
      <c r="F6487" s="1">
        <v>0.1055</v>
      </c>
      <c r="G6487" s="1">
        <v>6.5299999999999997E-2</v>
      </c>
      <c r="H6487">
        <v>4</v>
      </c>
      <c r="I6487">
        <v>51</v>
      </c>
      <c r="J6487">
        <v>1973</v>
      </c>
    </row>
    <row r="6488" spans="1:10" x14ac:dyDescent="0.25">
      <c r="A6488" t="s">
        <v>201</v>
      </c>
      <c r="B6488" t="s">
        <v>198</v>
      </c>
      <c r="C6488" t="s">
        <v>350</v>
      </c>
      <c r="D6488" t="s">
        <v>1164</v>
      </c>
      <c r="E6488" s="1">
        <v>7.0000000000000007E-2</v>
      </c>
      <c r="F6488" s="1">
        <v>3.5799999999999998E-2</v>
      </c>
      <c r="G6488" s="1">
        <v>0.19839999999999999</v>
      </c>
      <c r="H6488">
        <v>4</v>
      </c>
      <c r="I6488">
        <v>51</v>
      </c>
      <c r="J6488">
        <v>1973</v>
      </c>
    </row>
    <row r="6489" spans="1:10" x14ac:dyDescent="0.25">
      <c r="A6489" t="s">
        <v>201</v>
      </c>
      <c r="B6489" t="s">
        <v>198</v>
      </c>
      <c r="C6489" t="s">
        <v>350</v>
      </c>
      <c r="D6489" t="s">
        <v>1165</v>
      </c>
      <c r="E6489" s="1">
        <v>2.0199999999999999E-2</v>
      </c>
      <c r="F6489" s="1">
        <v>7.17E-2</v>
      </c>
      <c r="H6489">
        <v>4</v>
      </c>
      <c r="I6489">
        <v>51</v>
      </c>
      <c r="J6489">
        <v>1973</v>
      </c>
    </row>
    <row r="6490" spans="1:10" x14ac:dyDescent="0.25">
      <c r="A6490" t="s">
        <v>201</v>
      </c>
      <c r="B6490" t="s">
        <v>198</v>
      </c>
      <c r="C6490" t="s">
        <v>350</v>
      </c>
      <c r="D6490" t="s">
        <v>1178</v>
      </c>
      <c r="E6490" s="1">
        <v>9.4999999999999998E-3</v>
      </c>
      <c r="H6490">
        <v>4</v>
      </c>
      <c r="I6490">
        <v>51</v>
      </c>
      <c r="J6490">
        <v>1973</v>
      </c>
    </row>
    <row r="6491" spans="1:10" x14ac:dyDescent="0.25">
      <c r="A6491" t="s">
        <v>201</v>
      </c>
      <c r="B6491" t="s">
        <v>198</v>
      </c>
      <c r="C6491" t="s">
        <v>350</v>
      </c>
      <c r="D6491" t="s">
        <v>1179</v>
      </c>
      <c r="E6491" s="1">
        <v>2.0199999999999999E-2</v>
      </c>
      <c r="F6491" s="1">
        <v>5.28E-2</v>
      </c>
      <c r="H6491">
        <v>4</v>
      </c>
      <c r="I6491">
        <v>51</v>
      </c>
      <c r="J6491">
        <v>1973</v>
      </c>
    </row>
    <row r="6492" spans="1:10" x14ac:dyDescent="0.25">
      <c r="A6492" t="s">
        <v>201</v>
      </c>
      <c r="B6492" t="s">
        <v>198</v>
      </c>
      <c r="C6492" t="s">
        <v>350</v>
      </c>
      <c r="D6492" t="s">
        <v>1166</v>
      </c>
      <c r="E6492" s="1">
        <v>9.4999999999999998E-3</v>
      </c>
      <c r="F6492" s="1">
        <v>3.5799999999999998E-2</v>
      </c>
      <c r="G6492" s="1">
        <v>8.8700000000000001E-2</v>
      </c>
      <c r="H6492">
        <v>4</v>
      </c>
      <c r="I6492">
        <v>51</v>
      </c>
      <c r="J6492">
        <v>1973</v>
      </c>
    </row>
    <row r="6493" spans="1:10" x14ac:dyDescent="0.25">
      <c r="A6493" t="s">
        <v>201</v>
      </c>
      <c r="B6493" t="s">
        <v>198</v>
      </c>
      <c r="C6493" t="s">
        <v>350</v>
      </c>
      <c r="D6493" t="s">
        <v>1170</v>
      </c>
      <c r="E6493" s="1">
        <v>2.0199999999999999E-2</v>
      </c>
      <c r="F6493" s="1">
        <v>5.28E-2</v>
      </c>
      <c r="G6493" s="1">
        <v>2.0899999999999998E-2</v>
      </c>
      <c r="H6493">
        <v>4</v>
      </c>
      <c r="I6493">
        <v>51</v>
      </c>
      <c r="J6493">
        <v>1973</v>
      </c>
    </row>
    <row r="6494" spans="1:10" x14ac:dyDescent="0.25">
      <c r="A6494" t="s">
        <v>201</v>
      </c>
      <c r="B6494" t="s">
        <v>198</v>
      </c>
      <c r="C6494" t="s">
        <v>350</v>
      </c>
      <c r="D6494" t="s">
        <v>1172</v>
      </c>
      <c r="E6494" s="1">
        <v>0.4602</v>
      </c>
      <c r="F6494" s="1">
        <v>0.16020000000000001</v>
      </c>
      <c r="G6494" s="1">
        <v>4.4400000000000002E-2</v>
      </c>
      <c r="H6494">
        <v>4</v>
      </c>
      <c r="I6494">
        <v>51</v>
      </c>
      <c r="J6494">
        <v>1973</v>
      </c>
    </row>
    <row r="6495" spans="1:10" x14ac:dyDescent="0.25">
      <c r="A6495" t="s">
        <v>201</v>
      </c>
      <c r="B6495" t="s">
        <v>198</v>
      </c>
      <c r="C6495" t="s">
        <v>350</v>
      </c>
      <c r="D6495" t="s">
        <v>1173</v>
      </c>
      <c r="E6495" s="1">
        <v>0.23019999999999999</v>
      </c>
      <c r="F6495" s="1">
        <v>0.1193</v>
      </c>
      <c r="G6495" s="1">
        <v>6.5299999999999997E-2</v>
      </c>
      <c r="H6495">
        <v>4</v>
      </c>
      <c r="I6495">
        <v>51</v>
      </c>
      <c r="J6495">
        <v>1973</v>
      </c>
    </row>
    <row r="6496" spans="1:10" x14ac:dyDescent="0.25">
      <c r="A6496" t="s">
        <v>201</v>
      </c>
      <c r="B6496" t="s">
        <v>198</v>
      </c>
      <c r="C6496" t="s">
        <v>350</v>
      </c>
      <c r="D6496" t="s">
        <v>215</v>
      </c>
      <c r="E6496" s="1">
        <v>2.0199999999999999E-2</v>
      </c>
      <c r="H6496">
        <v>4</v>
      </c>
      <c r="I6496">
        <v>51</v>
      </c>
      <c r="J6496">
        <v>1973</v>
      </c>
    </row>
    <row r="6497" spans="1:10" x14ac:dyDescent="0.25">
      <c r="A6497" t="s">
        <v>202</v>
      </c>
      <c r="B6497" t="s">
        <v>198</v>
      </c>
      <c r="C6497" t="s">
        <v>348</v>
      </c>
      <c r="D6497" t="s">
        <v>1175</v>
      </c>
      <c r="E6497" s="1">
        <v>3.2000000000000002E-3</v>
      </c>
      <c r="F6497" s="1">
        <v>7.0199999999999999E-2</v>
      </c>
      <c r="G6497" s="1">
        <v>8.0799999999999997E-2</v>
      </c>
      <c r="H6497">
        <v>197</v>
      </c>
      <c r="I6497">
        <v>80</v>
      </c>
      <c r="J6497">
        <v>1973</v>
      </c>
    </row>
    <row r="6498" spans="1:10" x14ac:dyDescent="0.25">
      <c r="A6498" t="s">
        <v>202</v>
      </c>
      <c r="B6498" t="s">
        <v>198</v>
      </c>
      <c r="C6498" t="s">
        <v>348</v>
      </c>
      <c r="D6498" t="s">
        <v>1176</v>
      </c>
      <c r="E6498" s="1">
        <v>3.2000000000000002E-3</v>
      </c>
      <c r="F6498" s="1">
        <v>4.0899999999999999E-2</v>
      </c>
      <c r="H6498">
        <v>197</v>
      </c>
      <c r="I6498">
        <v>80</v>
      </c>
      <c r="J6498">
        <v>1973</v>
      </c>
    </row>
    <row r="6499" spans="1:10" x14ac:dyDescent="0.25">
      <c r="A6499" t="s">
        <v>202</v>
      </c>
      <c r="B6499" t="s">
        <v>198</v>
      </c>
      <c r="C6499" t="s">
        <v>348</v>
      </c>
      <c r="D6499" t="s">
        <v>1163</v>
      </c>
      <c r="E6499" s="1">
        <v>4.53E-2</v>
      </c>
      <c r="F6499" s="1">
        <v>3.95E-2</v>
      </c>
      <c r="G6499" s="1">
        <v>4.6899999999999997E-2</v>
      </c>
      <c r="H6499">
        <v>197</v>
      </c>
      <c r="I6499">
        <v>80</v>
      </c>
      <c r="J6499">
        <v>1973</v>
      </c>
    </row>
    <row r="6500" spans="1:10" x14ac:dyDescent="0.25">
      <c r="A6500" t="s">
        <v>202</v>
      </c>
      <c r="B6500" t="s">
        <v>198</v>
      </c>
      <c r="C6500" t="s">
        <v>348</v>
      </c>
      <c r="D6500" t="s">
        <v>1164</v>
      </c>
      <c r="E6500" s="1">
        <v>4.8300000000000003E-2</v>
      </c>
      <c r="F6500" s="1">
        <v>0.1676</v>
      </c>
      <c r="G6500" s="1">
        <v>0.2606</v>
      </c>
      <c r="H6500">
        <v>197</v>
      </c>
      <c r="I6500">
        <v>80</v>
      </c>
      <c r="J6500">
        <v>1973</v>
      </c>
    </row>
    <row r="6501" spans="1:10" x14ac:dyDescent="0.25">
      <c r="A6501" t="s">
        <v>202</v>
      </c>
      <c r="B6501" t="s">
        <v>198</v>
      </c>
      <c r="C6501" t="s">
        <v>348</v>
      </c>
      <c r="D6501" t="s">
        <v>1177</v>
      </c>
      <c r="E6501" s="1">
        <v>1.7100000000000001E-2</v>
      </c>
      <c r="H6501">
        <v>197</v>
      </c>
      <c r="I6501">
        <v>80</v>
      </c>
      <c r="J6501">
        <v>1973</v>
      </c>
    </row>
    <row r="6502" spans="1:10" x14ac:dyDescent="0.25">
      <c r="A6502" t="s">
        <v>202</v>
      </c>
      <c r="B6502" t="s">
        <v>198</v>
      </c>
      <c r="C6502" t="s">
        <v>348</v>
      </c>
      <c r="D6502" t="s">
        <v>1179</v>
      </c>
      <c r="E6502" s="1">
        <v>4.2500000000000003E-2</v>
      </c>
      <c r="F6502" s="1">
        <v>2.0899999999999998E-2</v>
      </c>
      <c r="H6502">
        <v>197</v>
      </c>
      <c r="I6502">
        <v>80</v>
      </c>
      <c r="J6502">
        <v>1973</v>
      </c>
    </row>
    <row r="6503" spans="1:10" x14ac:dyDescent="0.25">
      <c r="A6503" t="s">
        <v>202</v>
      </c>
      <c r="B6503" t="s">
        <v>198</v>
      </c>
      <c r="C6503" t="s">
        <v>348</v>
      </c>
      <c r="D6503" t="s">
        <v>1166</v>
      </c>
      <c r="E6503" s="1">
        <v>3.4799999999999998E-2</v>
      </c>
      <c r="F6503" s="1">
        <v>0.2097</v>
      </c>
      <c r="G6503" s="1">
        <v>8.2799999999999999E-2</v>
      </c>
      <c r="H6503">
        <v>197</v>
      </c>
      <c r="I6503">
        <v>80</v>
      </c>
      <c r="J6503">
        <v>1973</v>
      </c>
    </row>
    <row r="6504" spans="1:10" x14ac:dyDescent="0.25">
      <c r="A6504" t="s">
        <v>202</v>
      </c>
      <c r="B6504" t="s">
        <v>198</v>
      </c>
      <c r="C6504" t="s">
        <v>348</v>
      </c>
      <c r="D6504" t="s">
        <v>1168</v>
      </c>
      <c r="E6504" s="1">
        <v>2.3400000000000001E-2</v>
      </c>
      <c r="F6504" s="1">
        <v>6.3399999999999998E-2</v>
      </c>
      <c r="G6504" s="1">
        <v>0.13569999999999999</v>
      </c>
      <c r="H6504">
        <v>197</v>
      </c>
      <c r="I6504">
        <v>80</v>
      </c>
      <c r="J6504">
        <v>1973</v>
      </c>
    </row>
    <row r="6505" spans="1:10" x14ac:dyDescent="0.25">
      <c r="A6505" t="s">
        <v>202</v>
      </c>
      <c r="B6505" t="s">
        <v>198</v>
      </c>
      <c r="C6505" t="s">
        <v>348</v>
      </c>
      <c r="D6505" t="s">
        <v>1169</v>
      </c>
      <c r="E6505" s="1">
        <v>1.9099999999999999E-2</v>
      </c>
      <c r="H6505">
        <v>197</v>
      </c>
      <c r="I6505">
        <v>80</v>
      </c>
      <c r="J6505">
        <v>1973</v>
      </c>
    </row>
    <row r="6506" spans="1:10" x14ac:dyDescent="0.25">
      <c r="A6506" t="s">
        <v>202</v>
      </c>
      <c r="B6506" t="s">
        <v>198</v>
      </c>
      <c r="C6506" t="s">
        <v>348</v>
      </c>
      <c r="D6506" t="s">
        <v>1180</v>
      </c>
      <c r="E6506" s="1">
        <v>1.7100000000000001E-2</v>
      </c>
      <c r="F6506" s="1">
        <v>1.4500000000000001E-2</v>
      </c>
      <c r="G6506" s="1">
        <v>9.4700000000000006E-2</v>
      </c>
      <c r="H6506">
        <v>197</v>
      </c>
      <c r="I6506">
        <v>80</v>
      </c>
      <c r="J6506">
        <v>1973</v>
      </c>
    </row>
    <row r="6507" spans="1:10" x14ac:dyDescent="0.25">
      <c r="A6507" t="s">
        <v>202</v>
      </c>
      <c r="B6507" t="s">
        <v>198</v>
      </c>
      <c r="C6507" t="s">
        <v>348</v>
      </c>
      <c r="D6507" t="s">
        <v>1172</v>
      </c>
      <c r="E6507" s="1">
        <v>0.57220000000000004</v>
      </c>
      <c r="F6507" s="1">
        <v>7.7899999999999997E-2</v>
      </c>
      <c r="G6507" s="1">
        <v>5.3400000000000003E-2</v>
      </c>
      <c r="H6507">
        <v>197</v>
      </c>
      <c r="I6507">
        <v>80</v>
      </c>
      <c r="J6507">
        <v>1973</v>
      </c>
    </row>
    <row r="6508" spans="1:10" x14ac:dyDescent="0.25">
      <c r="A6508" t="s">
        <v>202</v>
      </c>
      <c r="B6508" t="s">
        <v>198</v>
      </c>
      <c r="C6508" t="s">
        <v>348</v>
      </c>
      <c r="D6508" t="s">
        <v>1173</v>
      </c>
      <c r="E6508" s="1">
        <v>0.1305</v>
      </c>
      <c r="F6508" s="1">
        <v>0.1394</v>
      </c>
      <c r="G6508" s="1">
        <v>1.7399999999999999E-2</v>
      </c>
      <c r="H6508">
        <v>197</v>
      </c>
      <c r="I6508">
        <v>80</v>
      </c>
      <c r="J6508">
        <v>1973</v>
      </c>
    </row>
    <row r="6509" spans="1:10" x14ac:dyDescent="0.25">
      <c r="A6509" t="s">
        <v>202</v>
      </c>
      <c r="B6509" t="s">
        <v>198</v>
      </c>
      <c r="C6509" t="s">
        <v>348</v>
      </c>
      <c r="D6509" t="s">
        <v>215</v>
      </c>
      <c r="E6509" s="1">
        <v>4.3499999999999997E-2</v>
      </c>
      <c r="G6509" s="1">
        <v>4.5999999999999999E-3</v>
      </c>
      <c r="H6509">
        <v>197</v>
      </c>
      <c r="I6509">
        <v>80</v>
      </c>
      <c r="J6509">
        <v>1973</v>
      </c>
    </row>
    <row r="6510" spans="1:10" x14ac:dyDescent="0.25">
      <c r="A6510" t="s">
        <v>199</v>
      </c>
      <c r="B6510" t="s">
        <v>203</v>
      </c>
      <c r="C6510" t="s">
        <v>348</v>
      </c>
      <c r="D6510" t="s">
        <v>1174</v>
      </c>
      <c r="E6510" s="1">
        <v>4.36E-2</v>
      </c>
      <c r="F6510" s="1">
        <v>0.1222</v>
      </c>
      <c r="G6510" s="1">
        <v>2.4899999999999999E-2</v>
      </c>
      <c r="H6510">
        <v>10</v>
      </c>
      <c r="I6510">
        <v>33</v>
      </c>
      <c r="J6510">
        <v>1973</v>
      </c>
    </row>
    <row r="6511" spans="1:10" x14ac:dyDescent="0.25">
      <c r="A6511" t="s">
        <v>199</v>
      </c>
      <c r="B6511" t="s">
        <v>203</v>
      </c>
      <c r="C6511" t="s">
        <v>348</v>
      </c>
      <c r="D6511" t="s">
        <v>1175</v>
      </c>
      <c r="E6511" s="1">
        <v>0.1406</v>
      </c>
      <c r="F6511" s="1">
        <v>2.8899999999999999E-2</v>
      </c>
      <c r="H6511">
        <v>10</v>
      </c>
      <c r="I6511">
        <v>33</v>
      </c>
      <c r="J6511">
        <v>1973</v>
      </c>
    </row>
    <row r="6512" spans="1:10" x14ac:dyDescent="0.25">
      <c r="A6512" t="s">
        <v>199</v>
      </c>
      <c r="B6512" t="s">
        <v>203</v>
      </c>
      <c r="C6512" t="s">
        <v>348</v>
      </c>
      <c r="D6512" t="s">
        <v>1164</v>
      </c>
      <c r="E6512" s="1">
        <v>1.37E-2</v>
      </c>
      <c r="F6512" s="1">
        <v>6.1100000000000002E-2</v>
      </c>
      <c r="H6512">
        <v>10</v>
      </c>
      <c r="I6512">
        <v>33</v>
      </c>
      <c r="J6512">
        <v>1973</v>
      </c>
    </row>
    <row r="6513" spans="1:10" x14ac:dyDescent="0.25">
      <c r="A6513" t="s">
        <v>199</v>
      </c>
      <c r="B6513" t="s">
        <v>203</v>
      </c>
      <c r="C6513" t="s">
        <v>348</v>
      </c>
      <c r="D6513" t="s">
        <v>1165</v>
      </c>
      <c r="E6513" s="1">
        <v>4.36E-2</v>
      </c>
      <c r="F6513" s="1">
        <v>1.9199999999999998E-2</v>
      </c>
      <c r="H6513">
        <v>10</v>
      </c>
      <c r="I6513">
        <v>33</v>
      </c>
      <c r="J6513">
        <v>1973</v>
      </c>
    </row>
    <row r="6514" spans="1:10" x14ac:dyDescent="0.25">
      <c r="A6514" t="s">
        <v>199</v>
      </c>
      <c r="B6514" t="s">
        <v>203</v>
      </c>
      <c r="C6514" t="s">
        <v>348</v>
      </c>
      <c r="D6514" t="s">
        <v>1168</v>
      </c>
      <c r="E6514" s="1">
        <v>2.06E-2</v>
      </c>
      <c r="F6514" s="1">
        <v>0.18729999999999999</v>
      </c>
      <c r="H6514">
        <v>10</v>
      </c>
      <c r="I6514">
        <v>33</v>
      </c>
      <c r="J6514">
        <v>1973</v>
      </c>
    </row>
    <row r="6515" spans="1:10" x14ac:dyDescent="0.25">
      <c r="A6515" t="s">
        <v>199</v>
      </c>
      <c r="B6515" t="s">
        <v>203</v>
      </c>
      <c r="C6515" t="s">
        <v>348</v>
      </c>
      <c r="D6515" t="s">
        <v>1171</v>
      </c>
      <c r="E6515" s="1">
        <v>1.37E-2</v>
      </c>
      <c r="H6515">
        <v>10</v>
      </c>
      <c r="I6515">
        <v>33</v>
      </c>
      <c r="J6515">
        <v>1973</v>
      </c>
    </row>
    <row r="6516" spans="1:10" x14ac:dyDescent="0.25">
      <c r="A6516" t="s">
        <v>199</v>
      </c>
      <c r="B6516" t="s">
        <v>203</v>
      </c>
      <c r="C6516" t="s">
        <v>348</v>
      </c>
      <c r="D6516" t="s">
        <v>1172</v>
      </c>
      <c r="E6516" s="1">
        <v>0.28920000000000001</v>
      </c>
      <c r="F6516" s="1">
        <v>0.32100000000000001</v>
      </c>
      <c r="G6516" s="1">
        <v>0.15579999999999999</v>
      </c>
      <c r="H6516">
        <v>10</v>
      </c>
      <c r="I6516">
        <v>33</v>
      </c>
      <c r="J6516">
        <v>1973</v>
      </c>
    </row>
    <row r="6517" spans="1:10" x14ac:dyDescent="0.25">
      <c r="A6517" t="s">
        <v>199</v>
      </c>
      <c r="B6517" t="s">
        <v>203</v>
      </c>
      <c r="C6517" t="s">
        <v>348</v>
      </c>
      <c r="D6517" t="s">
        <v>1173</v>
      </c>
      <c r="E6517" s="1">
        <v>0.43509999999999999</v>
      </c>
      <c r="F6517" s="1">
        <v>0.09</v>
      </c>
      <c r="G6517" s="1">
        <v>4.8800000000000003E-2</v>
      </c>
      <c r="H6517">
        <v>10</v>
      </c>
      <c r="I6517">
        <v>33</v>
      </c>
      <c r="J6517">
        <v>1973</v>
      </c>
    </row>
    <row r="6518" spans="1:10" x14ac:dyDescent="0.25">
      <c r="A6518" t="s">
        <v>199</v>
      </c>
      <c r="B6518" t="s">
        <v>203</v>
      </c>
      <c r="C6518" t="s">
        <v>349</v>
      </c>
      <c r="D6518" t="s">
        <v>220</v>
      </c>
      <c r="E6518" s="1">
        <v>1.9E-3</v>
      </c>
      <c r="F6518" s="1">
        <v>5.4100000000000002E-2</v>
      </c>
      <c r="G6518" s="1">
        <v>6.2799999999999995E-2</v>
      </c>
      <c r="H6518">
        <v>93</v>
      </c>
      <c r="I6518">
        <v>129</v>
      </c>
      <c r="J6518">
        <v>1973</v>
      </c>
    </row>
    <row r="6519" spans="1:10" x14ac:dyDescent="0.25">
      <c r="A6519" t="s">
        <v>199</v>
      </c>
      <c r="B6519" t="s">
        <v>203</v>
      </c>
      <c r="C6519" t="s">
        <v>349</v>
      </c>
      <c r="D6519" t="s">
        <v>1175</v>
      </c>
      <c r="E6519" s="1">
        <v>1.8800000000000001E-2</v>
      </c>
      <c r="F6519" s="1">
        <v>0.13489999999999999</v>
      </c>
      <c r="G6519" s="1">
        <v>0.16719999999999999</v>
      </c>
      <c r="H6519">
        <v>93</v>
      </c>
      <c r="I6519">
        <v>129</v>
      </c>
      <c r="J6519">
        <v>1973</v>
      </c>
    </row>
    <row r="6520" spans="1:10" x14ac:dyDescent="0.25">
      <c r="A6520" t="s">
        <v>199</v>
      </c>
      <c r="B6520" t="s">
        <v>203</v>
      </c>
      <c r="C6520" t="s">
        <v>349</v>
      </c>
      <c r="D6520" t="s">
        <v>1176</v>
      </c>
      <c r="E6520" s="1">
        <v>1.7299999999999999E-2</v>
      </c>
      <c r="F6520" s="1">
        <v>5.2699999999999997E-2</v>
      </c>
      <c r="G6520" s="1">
        <v>7.7000000000000002E-3</v>
      </c>
      <c r="H6520">
        <v>93</v>
      </c>
      <c r="I6520">
        <v>129</v>
      </c>
      <c r="J6520">
        <v>1973</v>
      </c>
    </row>
    <row r="6521" spans="1:10" x14ac:dyDescent="0.25">
      <c r="A6521" t="s">
        <v>199</v>
      </c>
      <c r="B6521" t="s">
        <v>203</v>
      </c>
      <c r="C6521" t="s">
        <v>349</v>
      </c>
      <c r="D6521" t="s">
        <v>1163</v>
      </c>
      <c r="E6521" s="1">
        <v>8.8999999999999999E-3</v>
      </c>
      <c r="F6521" s="1">
        <v>9.1000000000000004E-3</v>
      </c>
      <c r="G6521" s="1">
        <v>2.1399999999999999E-2</v>
      </c>
      <c r="H6521">
        <v>93</v>
      </c>
      <c r="I6521">
        <v>129</v>
      </c>
      <c r="J6521">
        <v>1973</v>
      </c>
    </row>
    <row r="6522" spans="1:10" x14ac:dyDescent="0.25">
      <c r="A6522" t="s">
        <v>199</v>
      </c>
      <c r="B6522" t="s">
        <v>203</v>
      </c>
      <c r="C6522" t="s">
        <v>349</v>
      </c>
      <c r="D6522" t="s">
        <v>1164</v>
      </c>
      <c r="E6522" s="1">
        <v>5.5E-2</v>
      </c>
      <c r="F6522" s="1">
        <v>5.1700000000000003E-2</v>
      </c>
      <c r="G6522" s="1">
        <v>6.2799999999999995E-2</v>
      </c>
      <c r="H6522">
        <v>93</v>
      </c>
      <c r="I6522">
        <v>129</v>
      </c>
      <c r="J6522">
        <v>1973</v>
      </c>
    </row>
    <row r="6523" spans="1:10" x14ac:dyDescent="0.25">
      <c r="A6523" t="s">
        <v>199</v>
      </c>
      <c r="B6523" t="s">
        <v>203</v>
      </c>
      <c r="C6523" t="s">
        <v>349</v>
      </c>
      <c r="D6523" t="s">
        <v>1165</v>
      </c>
      <c r="E6523" s="1">
        <v>2.1100000000000001E-2</v>
      </c>
      <c r="F6523" s="1">
        <v>4.7800000000000002E-2</v>
      </c>
      <c r="G6523" s="1">
        <v>1.55E-2</v>
      </c>
      <c r="H6523">
        <v>93</v>
      </c>
      <c r="I6523">
        <v>129</v>
      </c>
      <c r="J6523">
        <v>1973</v>
      </c>
    </row>
    <row r="6524" spans="1:10" x14ac:dyDescent="0.25">
      <c r="A6524" t="s">
        <v>199</v>
      </c>
      <c r="B6524" t="s">
        <v>203</v>
      </c>
      <c r="C6524" t="s">
        <v>349</v>
      </c>
      <c r="D6524" t="s">
        <v>1177</v>
      </c>
      <c r="E6524" s="1">
        <v>3.8999999999999998E-3</v>
      </c>
      <c r="F6524" s="1">
        <v>2.4299999999999999E-2</v>
      </c>
      <c r="G6524" s="1">
        <v>1.55E-2</v>
      </c>
      <c r="H6524">
        <v>93</v>
      </c>
      <c r="I6524">
        <v>129</v>
      </c>
      <c r="J6524">
        <v>1973</v>
      </c>
    </row>
    <row r="6525" spans="1:10" x14ac:dyDescent="0.25">
      <c r="A6525" t="s">
        <v>199</v>
      </c>
      <c r="B6525" t="s">
        <v>203</v>
      </c>
      <c r="C6525" t="s">
        <v>349</v>
      </c>
      <c r="D6525" t="s">
        <v>1178</v>
      </c>
      <c r="E6525" s="1">
        <v>4.0000000000000001E-3</v>
      </c>
      <c r="F6525" s="1">
        <v>4.8999999999999998E-3</v>
      </c>
      <c r="G6525" s="1">
        <v>7.2800000000000004E-2</v>
      </c>
      <c r="H6525">
        <v>93</v>
      </c>
      <c r="I6525">
        <v>129</v>
      </c>
      <c r="J6525">
        <v>1973</v>
      </c>
    </row>
    <row r="6526" spans="1:10" x14ac:dyDescent="0.25">
      <c r="A6526" t="s">
        <v>199</v>
      </c>
      <c r="B6526" t="s">
        <v>203</v>
      </c>
      <c r="C6526" t="s">
        <v>349</v>
      </c>
      <c r="D6526" t="s">
        <v>1179</v>
      </c>
      <c r="E6526" s="1">
        <v>1.9E-3</v>
      </c>
      <c r="F6526" s="1">
        <v>1.6E-2</v>
      </c>
      <c r="G6526" s="1">
        <v>8.3000000000000001E-3</v>
      </c>
      <c r="H6526">
        <v>93</v>
      </c>
      <c r="I6526">
        <v>129</v>
      </c>
      <c r="J6526">
        <v>1973</v>
      </c>
    </row>
    <row r="6527" spans="1:10" x14ac:dyDescent="0.25">
      <c r="A6527" t="s">
        <v>199</v>
      </c>
      <c r="B6527" t="s">
        <v>203</v>
      </c>
      <c r="C6527" t="s">
        <v>349</v>
      </c>
      <c r="D6527" t="s">
        <v>1166</v>
      </c>
      <c r="E6527" s="1">
        <v>5.8999999999999999E-3</v>
      </c>
      <c r="F6527" s="1">
        <v>7.5300000000000006E-2</v>
      </c>
      <c r="G6527" s="1">
        <v>0.17510000000000001</v>
      </c>
      <c r="H6527">
        <v>93</v>
      </c>
      <c r="I6527">
        <v>129</v>
      </c>
      <c r="J6527">
        <v>1973</v>
      </c>
    </row>
    <row r="6528" spans="1:10" x14ac:dyDescent="0.25">
      <c r="A6528" t="s">
        <v>199</v>
      </c>
      <c r="B6528" t="s">
        <v>203</v>
      </c>
      <c r="C6528" t="s">
        <v>349</v>
      </c>
      <c r="D6528" t="s">
        <v>1167</v>
      </c>
      <c r="E6528" s="1">
        <v>1.9E-3</v>
      </c>
      <c r="F6528" s="1">
        <v>4.5999999999999999E-3</v>
      </c>
      <c r="G6528" s="1">
        <v>2.3800000000000002E-2</v>
      </c>
      <c r="H6528">
        <v>93</v>
      </c>
      <c r="I6528">
        <v>129</v>
      </c>
      <c r="J6528">
        <v>1973</v>
      </c>
    </row>
    <row r="6529" spans="1:10" x14ac:dyDescent="0.25">
      <c r="A6529" t="s">
        <v>199</v>
      </c>
      <c r="B6529" t="s">
        <v>203</v>
      </c>
      <c r="C6529" t="s">
        <v>349</v>
      </c>
      <c r="D6529" t="s">
        <v>1168</v>
      </c>
      <c r="E6529" s="1">
        <v>1.14E-2</v>
      </c>
      <c r="F6529" s="1">
        <v>4.4600000000000001E-2</v>
      </c>
      <c r="G6529" s="1">
        <v>5.33E-2</v>
      </c>
      <c r="H6529">
        <v>93</v>
      </c>
      <c r="I6529">
        <v>129</v>
      </c>
      <c r="J6529">
        <v>1973</v>
      </c>
    </row>
    <row r="6530" spans="1:10" x14ac:dyDescent="0.25">
      <c r="A6530" t="s">
        <v>199</v>
      </c>
      <c r="B6530" t="s">
        <v>203</v>
      </c>
      <c r="C6530" t="s">
        <v>349</v>
      </c>
      <c r="D6530" t="s">
        <v>1180</v>
      </c>
      <c r="E6530" s="1">
        <v>5.1000000000000004E-3</v>
      </c>
      <c r="F6530" s="1">
        <v>4.5999999999999999E-3</v>
      </c>
      <c r="G6530" s="1">
        <v>6.4500000000000002E-2</v>
      </c>
      <c r="H6530">
        <v>93</v>
      </c>
      <c r="I6530">
        <v>129</v>
      </c>
      <c r="J6530">
        <v>1973</v>
      </c>
    </row>
    <row r="6531" spans="1:10" x14ac:dyDescent="0.25">
      <c r="A6531" t="s">
        <v>199</v>
      </c>
      <c r="B6531" t="s">
        <v>203</v>
      </c>
      <c r="C6531" t="s">
        <v>349</v>
      </c>
      <c r="D6531" t="s">
        <v>1172</v>
      </c>
      <c r="E6531" s="1">
        <v>0.27779999999999999</v>
      </c>
      <c r="F6531" s="1">
        <v>0.33090000000000003</v>
      </c>
      <c r="G6531" s="1">
        <v>2.3199999999999998E-2</v>
      </c>
      <c r="H6531">
        <v>93</v>
      </c>
      <c r="I6531">
        <v>129</v>
      </c>
      <c r="J6531">
        <v>1973</v>
      </c>
    </row>
    <row r="6532" spans="1:10" x14ac:dyDescent="0.25">
      <c r="A6532" t="s">
        <v>199</v>
      </c>
      <c r="B6532" t="s">
        <v>203</v>
      </c>
      <c r="C6532" t="s">
        <v>349</v>
      </c>
      <c r="D6532" t="s">
        <v>1173</v>
      </c>
      <c r="E6532" s="1">
        <v>0.56540000000000001</v>
      </c>
      <c r="F6532" s="1">
        <v>0.1087</v>
      </c>
      <c r="G6532" s="1">
        <v>5.6300000000000003E-2</v>
      </c>
      <c r="H6532">
        <v>93</v>
      </c>
      <c r="I6532">
        <v>129</v>
      </c>
      <c r="J6532">
        <v>1973</v>
      </c>
    </row>
    <row r="6533" spans="1:10" x14ac:dyDescent="0.25">
      <c r="A6533" t="s">
        <v>199</v>
      </c>
      <c r="B6533" t="s">
        <v>203</v>
      </c>
      <c r="C6533" t="s">
        <v>350</v>
      </c>
      <c r="D6533" t="s">
        <v>1174</v>
      </c>
      <c r="E6533" s="1">
        <v>2.24E-2</v>
      </c>
      <c r="F6533" s="1">
        <v>4.9000000000000002E-2</v>
      </c>
      <c r="G6533" s="1">
        <v>0.1142</v>
      </c>
      <c r="H6533">
        <v>193</v>
      </c>
      <c r="I6533">
        <v>244</v>
      </c>
      <c r="J6533">
        <v>1973</v>
      </c>
    </row>
    <row r="6534" spans="1:10" x14ac:dyDescent="0.25">
      <c r="A6534" t="s">
        <v>199</v>
      </c>
      <c r="B6534" t="s">
        <v>203</v>
      </c>
      <c r="C6534" t="s">
        <v>350</v>
      </c>
      <c r="D6534" t="s">
        <v>220</v>
      </c>
      <c r="E6534" s="1">
        <v>2.8999999999999998E-3</v>
      </c>
      <c r="F6534" s="1">
        <v>8.0999999999999996E-3</v>
      </c>
      <c r="G6534" s="1">
        <v>4.0899999999999999E-2</v>
      </c>
      <c r="H6534">
        <v>193</v>
      </c>
      <c r="I6534">
        <v>244</v>
      </c>
      <c r="J6534">
        <v>1973</v>
      </c>
    </row>
    <row r="6535" spans="1:10" x14ac:dyDescent="0.25">
      <c r="A6535" t="s">
        <v>199</v>
      </c>
      <c r="B6535" t="s">
        <v>203</v>
      </c>
      <c r="C6535" t="s">
        <v>350</v>
      </c>
      <c r="D6535" t="s">
        <v>1175</v>
      </c>
      <c r="E6535" s="1">
        <v>1.0200000000000001E-2</v>
      </c>
      <c r="F6535" s="1">
        <v>0.187</v>
      </c>
      <c r="G6535" s="1">
        <v>0.17299999999999999</v>
      </c>
      <c r="H6535">
        <v>193</v>
      </c>
      <c r="I6535">
        <v>244</v>
      </c>
      <c r="J6535">
        <v>1973</v>
      </c>
    </row>
    <row r="6536" spans="1:10" x14ac:dyDescent="0.25">
      <c r="A6536" t="s">
        <v>199</v>
      </c>
      <c r="B6536" t="s">
        <v>203</v>
      </c>
      <c r="C6536" t="s">
        <v>350</v>
      </c>
      <c r="D6536" t="s">
        <v>1176</v>
      </c>
      <c r="E6536" s="1">
        <v>9.7000000000000003E-3</v>
      </c>
      <c r="F6536" s="1">
        <v>2.8999999999999998E-3</v>
      </c>
      <c r="G6536" s="1">
        <v>6.3E-3</v>
      </c>
      <c r="H6536">
        <v>193</v>
      </c>
      <c r="I6536">
        <v>244</v>
      </c>
      <c r="J6536">
        <v>1973</v>
      </c>
    </row>
    <row r="6537" spans="1:10" x14ac:dyDescent="0.25">
      <c r="A6537" t="s">
        <v>199</v>
      </c>
      <c r="B6537" t="s">
        <v>203</v>
      </c>
      <c r="C6537" t="s">
        <v>350</v>
      </c>
      <c r="D6537" t="s">
        <v>1163</v>
      </c>
      <c r="E6537" s="1">
        <v>7.4999999999999997E-3</v>
      </c>
      <c r="F6537" s="1">
        <v>7.9000000000000008E-3</v>
      </c>
      <c r="G6537" s="1">
        <v>3.1800000000000002E-2</v>
      </c>
      <c r="H6537">
        <v>193</v>
      </c>
      <c r="I6537">
        <v>244</v>
      </c>
      <c r="J6537">
        <v>1973</v>
      </c>
    </row>
    <row r="6538" spans="1:10" x14ac:dyDescent="0.25">
      <c r="A6538" t="s">
        <v>199</v>
      </c>
      <c r="B6538" t="s">
        <v>203</v>
      </c>
      <c r="C6538" t="s">
        <v>350</v>
      </c>
      <c r="D6538" t="s">
        <v>1164</v>
      </c>
      <c r="E6538" s="1">
        <v>1.49E-2</v>
      </c>
      <c r="F6538" s="1">
        <v>4.9200000000000001E-2</v>
      </c>
      <c r="G6538" s="1">
        <v>9.4500000000000001E-2</v>
      </c>
      <c r="H6538">
        <v>193</v>
      </c>
      <c r="I6538">
        <v>244</v>
      </c>
      <c r="J6538">
        <v>1973</v>
      </c>
    </row>
    <row r="6539" spans="1:10" x14ac:dyDescent="0.25">
      <c r="A6539" t="s">
        <v>199</v>
      </c>
      <c r="B6539" t="s">
        <v>203</v>
      </c>
      <c r="C6539" t="s">
        <v>350</v>
      </c>
      <c r="D6539" t="s">
        <v>1165</v>
      </c>
      <c r="E6539" s="1">
        <v>3.4599999999999999E-2</v>
      </c>
      <c r="F6539" s="1">
        <v>7.0999999999999994E-2</v>
      </c>
      <c r="G6539" s="1">
        <v>7.1300000000000002E-2</v>
      </c>
      <c r="H6539">
        <v>193</v>
      </c>
      <c r="I6539">
        <v>244</v>
      </c>
      <c r="J6539">
        <v>1973</v>
      </c>
    </row>
    <row r="6540" spans="1:10" x14ac:dyDescent="0.25">
      <c r="A6540" t="s">
        <v>199</v>
      </c>
      <c r="B6540" t="s">
        <v>203</v>
      </c>
      <c r="C6540" t="s">
        <v>350</v>
      </c>
      <c r="D6540" t="s">
        <v>1177</v>
      </c>
      <c r="E6540" s="1">
        <v>3.8999999999999998E-3</v>
      </c>
      <c r="F6540" s="1">
        <v>6.3E-3</v>
      </c>
      <c r="G6540" s="1">
        <v>4.0000000000000001E-3</v>
      </c>
      <c r="H6540">
        <v>193</v>
      </c>
      <c r="I6540">
        <v>244</v>
      </c>
      <c r="J6540">
        <v>1973</v>
      </c>
    </row>
    <row r="6541" spans="1:10" x14ac:dyDescent="0.25">
      <c r="A6541" t="s">
        <v>199</v>
      </c>
      <c r="B6541" t="s">
        <v>203</v>
      </c>
      <c r="C6541" t="s">
        <v>350</v>
      </c>
      <c r="D6541" t="s">
        <v>1178</v>
      </c>
      <c r="E6541" s="1">
        <v>3.0000000000000001E-3</v>
      </c>
      <c r="F6541" s="1">
        <v>1.5E-3</v>
      </c>
      <c r="G6541" s="1">
        <v>4.0000000000000001E-3</v>
      </c>
      <c r="H6541">
        <v>193</v>
      </c>
      <c r="I6541">
        <v>244</v>
      </c>
      <c r="J6541">
        <v>1973</v>
      </c>
    </row>
    <row r="6542" spans="1:10" x14ac:dyDescent="0.25">
      <c r="A6542" t="s">
        <v>199</v>
      </c>
      <c r="B6542" t="s">
        <v>203</v>
      </c>
      <c r="C6542" t="s">
        <v>350</v>
      </c>
      <c r="D6542" t="s">
        <v>1179</v>
      </c>
      <c r="E6542" s="1">
        <v>1.8E-3</v>
      </c>
      <c r="F6542" s="1">
        <v>2.1600000000000001E-2</v>
      </c>
      <c r="G6542" s="1">
        <v>2.5000000000000001E-3</v>
      </c>
      <c r="H6542">
        <v>193</v>
      </c>
      <c r="I6542">
        <v>244</v>
      </c>
      <c r="J6542">
        <v>1973</v>
      </c>
    </row>
    <row r="6543" spans="1:10" x14ac:dyDescent="0.25">
      <c r="A6543" t="s">
        <v>199</v>
      </c>
      <c r="B6543" t="s">
        <v>203</v>
      </c>
      <c r="C6543" t="s">
        <v>350</v>
      </c>
      <c r="D6543" t="s">
        <v>1166</v>
      </c>
      <c r="E6543" s="1">
        <v>7.4999999999999997E-3</v>
      </c>
      <c r="F6543" s="1">
        <v>3.8699999999999998E-2</v>
      </c>
      <c r="G6543" s="1">
        <v>0.19370000000000001</v>
      </c>
      <c r="H6543">
        <v>193</v>
      </c>
      <c r="I6543">
        <v>244</v>
      </c>
      <c r="J6543">
        <v>1973</v>
      </c>
    </row>
    <row r="6544" spans="1:10" x14ac:dyDescent="0.25">
      <c r="A6544" t="s">
        <v>199</v>
      </c>
      <c r="B6544" t="s">
        <v>203</v>
      </c>
      <c r="C6544" t="s">
        <v>350</v>
      </c>
      <c r="D6544" t="s">
        <v>1167</v>
      </c>
      <c r="E6544" s="1">
        <v>8.9999999999999998E-4</v>
      </c>
      <c r="F6544" s="1">
        <v>2.3E-3</v>
      </c>
      <c r="G6544" s="1">
        <v>4.8999999999999998E-3</v>
      </c>
      <c r="H6544">
        <v>193</v>
      </c>
      <c r="I6544">
        <v>244</v>
      </c>
      <c r="J6544">
        <v>1973</v>
      </c>
    </row>
    <row r="6545" spans="1:10" x14ac:dyDescent="0.25">
      <c r="A6545" t="s">
        <v>199</v>
      </c>
      <c r="B6545" t="s">
        <v>203</v>
      </c>
      <c r="C6545" t="s">
        <v>350</v>
      </c>
      <c r="D6545" t="s">
        <v>1168</v>
      </c>
      <c r="E6545" s="1">
        <v>6.7999999999999996E-3</v>
      </c>
      <c r="F6545" s="1">
        <v>6.7400000000000002E-2</v>
      </c>
      <c r="G6545" s="1">
        <v>5.9400000000000001E-2</v>
      </c>
      <c r="H6545">
        <v>193</v>
      </c>
      <c r="I6545">
        <v>244</v>
      </c>
      <c r="J6545">
        <v>1973</v>
      </c>
    </row>
    <row r="6546" spans="1:10" x14ac:dyDescent="0.25">
      <c r="A6546" t="s">
        <v>199</v>
      </c>
      <c r="B6546" t="s">
        <v>203</v>
      </c>
      <c r="C6546" t="s">
        <v>350</v>
      </c>
      <c r="D6546" t="s">
        <v>1170</v>
      </c>
      <c r="E6546" s="1">
        <v>1E-3</v>
      </c>
      <c r="F6546" s="1">
        <v>1.5E-3</v>
      </c>
      <c r="G6546" s="1">
        <v>2.2000000000000001E-3</v>
      </c>
      <c r="H6546">
        <v>193</v>
      </c>
      <c r="I6546">
        <v>244</v>
      </c>
      <c r="J6546">
        <v>1973</v>
      </c>
    </row>
    <row r="6547" spans="1:10" x14ac:dyDescent="0.25">
      <c r="A6547" t="s">
        <v>199</v>
      </c>
      <c r="B6547" t="s">
        <v>203</v>
      </c>
      <c r="C6547" t="s">
        <v>350</v>
      </c>
      <c r="D6547" t="s">
        <v>1171</v>
      </c>
      <c r="E6547" s="1">
        <v>2.0000000000000001E-4</v>
      </c>
      <c r="F6547" s="1">
        <v>1.1999999999999999E-3</v>
      </c>
      <c r="G6547" s="1">
        <v>1.9E-3</v>
      </c>
      <c r="H6547">
        <v>193</v>
      </c>
      <c r="I6547">
        <v>244</v>
      </c>
      <c r="J6547">
        <v>1973</v>
      </c>
    </row>
    <row r="6548" spans="1:10" x14ac:dyDescent="0.25">
      <c r="A6548" t="s">
        <v>199</v>
      </c>
      <c r="B6548" t="s">
        <v>203</v>
      </c>
      <c r="C6548" t="s">
        <v>350</v>
      </c>
      <c r="D6548" t="s">
        <v>1180</v>
      </c>
      <c r="E6548" s="1">
        <v>8.9999999999999998E-4</v>
      </c>
      <c r="F6548" s="1">
        <v>1.5E-3</v>
      </c>
      <c r="G6548" s="1">
        <v>3.3300000000000003E-2</v>
      </c>
      <c r="H6548">
        <v>193</v>
      </c>
      <c r="I6548">
        <v>244</v>
      </c>
      <c r="J6548">
        <v>1973</v>
      </c>
    </row>
    <row r="6549" spans="1:10" x14ac:dyDescent="0.25">
      <c r="A6549" t="s">
        <v>199</v>
      </c>
      <c r="B6549" t="s">
        <v>203</v>
      </c>
      <c r="C6549" t="s">
        <v>350</v>
      </c>
      <c r="D6549" t="s">
        <v>1172</v>
      </c>
      <c r="E6549" s="1">
        <v>0.1618</v>
      </c>
      <c r="F6549" s="1">
        <v>0.30409999999999998</v>
      </c>
      <c r="G6549" s="1">
        <v>2.8799999999999999E-2</v>
      </c>
      <c r="H6549">
        <v>193</v>
      </c>
      <c r="I6549">
        <v>244</v>
      </c>
      <c r="J6549">
        <v>1973</v>
      </c>
    </row>
    <row r="6550" spans="1:10" x14ac:dyDescent="0.25">
      <c r="A6550" t="s">
        <v>199</v>
      </c>
      <c r="B6550" t="s">
        <v>203</v>
      </c>
      <c r="C6550" t="s">
        <v>350</v>
      </c>
      <c r="D6550" t="s">
        <v>1173</v>
      </c>
      <c r="E6550" s="1">
        <v>0.70920000000000005</v>
      </c>
      <c r="F6550" s="1">
        <v>7.5600000000000001E-2</v>
      </c>
      <c r="G6550" s="1">
        <v>3.0099999999999998E-2</v>
      </c>
      <c r="H6550">
        <v>193</v>
      </c>
      <c r="I6550">
        <v>244</v>
      </c>
      <c r="J6550">
        <v>1973</v>
      </c>
    </row>
    <row r="6551" spans="1:10" x14ac:dyDescent="0.25">
      <c r="A6551" t="s">
        <v>199</v>
      </c>
      <c r="B6551" t="s">
        <v>203</v>
      </c>
      <c r="C6551" t="s">
        <v>350</v>
      </c>
      <c r="D6551" t="s">
        <v>215</v>
      </c>
      <c r="E6551" s="1">
        <v>1.1000000000000001E-3</v>
      </c>
      <c r="G6551" s="1">
        <v>4.0000000000000002E-4</v>
      </c>
      <c r="H6551">
        <v>193</v>
      </c>
      <c r="I6551">
        <v>244</v>
      </c>
      <c r="J6551">
        <v>1973</v>
      </c>
    </row>
    <row r="6552" spans="1:10" x14ac:dyDescent="0.25">
      <c r="A6552" t="s">
        <v>200</v>
      </c>
      <c r="B6552" t="s">
        <v>203</v>
      </c>
      <c r="C6552" t="s">
        <v>348</v>
      </c>
      <c r="D6552" t="s">
        <v>220</v>
      </c>
      <c r="E6552" s="1">
        <v>3.5999999999999999E-3</v>
      </c>
      <c r="F6552" s="1">
        <v>7.0499999999999993E-2</v>
      </c>
      <c r="G6552" s="1">
        <v>0.1807</v>
      </c>
      <c r="H6552">
        <v>383</v>
      </c>
      <c r="I6552">
        <v>164</v>
      </c>
      <c r="J6552">
        <v>1973</v>
      </c>
    </row>
    <row r="6553" spans="1:10" x14ac:dyDescent="0.25">
      <c r="A6553" t="s">
        <v>200</v>
      </c>
      <c r="B6553" t="s">
        <v>203</v>
      </c>
      <c r="C6553" t="s">
        <v>348</v>
      </c>
      <c r="D6553" t="s">
        <v>1175</v>
      </c>
      <c r="E6553" s="1">
        <v>3.1300000000000001E-2</v>
      </c>
      <c r="F6553" s="1">
        <v>3.8800000000000001E-2</v>
      </c>
      <c r="G6553" s="1">
        <v>0.14680000000000001</v>
      </c>
      <c r="H6553">
        <v>383</v>
      </c>
      <c r="I6553">
        <v>164</v>
      </c>
      <c r="J6553">
        <v>1973</v>
      </c>
    </row>
    <row r="6554" spans="1:10" x14ac:dyDescent="0.25">
      <c r="A6554" t="s">
        <v>200</v>
      </c>
      <c r="B6554" t="s">
        <v>203</v>
      </c>
      <c r="C6554" t="s">
        <v>348</v>
      </c>
      <c r="D6554" t="s">
        <v>1176</v>
      </c>
      <c r="E6554" s="1">
        <v>8.9999999999999998E-4</v>
      </c>
      <c r="F6554" s="1">
        <v>7.0000000000000001E-3</v>
      </c>
      <c r="G6554" s="1">
        <v>5.8700000000000002E-2</v>
      </c>
      <c r="H6554">
        <v>383</v>
      </c>
      <c r="I6554">
        <v>164</v>
      </c>
      <c r="J6554">
        <v>1973</v>
      </c>
    </row>
    <row r="6555" spans="1:10" x14ac:dyDescent="0.25">
      <c r="A6555" t="s">
        <v>200</v>
      </c>
      <c r="B6555" t="s">
        <v>203</v>
      </c>
      <c r="C6555" t="s">
        <v>348</v>
      </c>
      <c r="D6555" t="s">
        <v>1163</v>
      </c>
      <c r="E6555" s="1">
        <v>1.6199999999999999E-2</v>
      </c>
      <c r="G6555" s="1">
        <v>2.4299999999999999E-2</v>
      </c>
      <c r="H6555">
        <v>383</v>
      </c>
      <c r="I6555">
        <v>164</v>
      </c>
      <c r="J6555">
        <v>1973</v>
      </c>
    </row>
    <row r="6556" spans="1:10" x14ac:dyDescent="0.25">
      <c r="A6556" t="s">
        <v>200</v>
      </c>
      <c r="B6556" t="s">
        <v>203</v>
      </c>
      <c r="C6556" t="s">
        <v>348</v>
      </c>
      <c r="D6556" t="s">
        <v>1164</v>
      </c>
      <c r="E6556" s="1">
        <v>2.7699999999999999E-2</v>
      </c>
      <c r="F6556" s="1">
        <v>9.8500000000000004E-2</v>
      </c>
      <c r="G6556" s="1">
        <v>0.16089999999999999</v>
      </c>
      <c r="H6556">
        <v>383</v>
      </c>
      <c r="I6556">
        <v>164</v>
      </c>
      <c r="J6556">
        <v>1973</v>
      </c>
    </row>
    <row r="6557" spans="1:10" x14ac:dyDescent="0.25">
      <c r="A6557" t="s">
        <v>200</v>
      </c>
      <c r="B6557" t="s">
        <v>203</v>
      </c>
      <c r="C6557" t="s">
        <v>348</v>
      </c>
      <c r="D6557" t="s">
        <v>1182</v>
      </c>
      <c r="E6557" s="1">
        <v>8.9999999999999998E-4</v>
      </c>
      <c r="H6557">
        <v>383</v>
      </c>
      <c r="I6557">
        <v>164</v>
      </c>
      <c r="J6557">
        <v>1973</v>
      </c>
    </row>
    <row r="6558" spans="1:10" x14ac:dyDescent="0.25">
      <c r="A6558" t="s">
        <v>200</v>
      </c>
      <c r="B6558" t="s">
        <v>203</v>
      </c>
      <c r="C6558" t="s">
        <v>348</v>
      </c>
      <c r="D6558" t="s">
        <v>1165</v>
      </c>
      <c r="E6558" s="1">
        <v>8.2100000000000006E-2</v>
      </c>
      <c r="F6558" s="1">
        <v>0.2409</v>
      </c>
      <c r="G6558" s="1">
        <v>0.18279999999999999</v>
      </c>
      <c r="H6558">
        <v>383</v>
      </c>
      <c r="I6558">
        <v>164</v>
      </c>
      <c r="J6558">
        <v>1973</v>
      </c>
    </row>
    <row r="6559" spans="1:10" x14ac:dyDescent="0.25">
      <c r="A6559" t="s">
        <v>200</v>
      </c>
      <c r="B6559" t="s">
        <v>203</v>
      </c>
      <c r="C6559" t="s">
        <v>348</v>
      </c>
      <c r="D6559" t="s">
        <v>1179</v>
      </c>
      <c r="E6559" s="1">
        <v>8.9999999999999998E-4</v>
      </c>
      <c r="F6559" s="1">
        <v>1.1999999999999999E-3</v>
      </c>
      <c r="G6559" s="1">
        <v>2.5999999999999999E-3</v>
      </c>
      <c r="H6559">
        <v>383</v>
      </c>
      <c r="I6559">
        <v>164</v>
      </c>
      <c r="J6559">
        <v>1973</v>
      </c>
    </row>
    <row r="6560" spans="1:10" x14ac:dyDescent="0.25">
      <c r="A6560" t="s">
        <v>200</v>
      </c>
      <c r="B6560" t="s">
        <v>203</v>
      </c>
      <c r="C6560" t="s">
        <v>348</v>
      </c>
      <c r="D6560" t="s">
        <v>1168</v>
      </c>
      <c r="E6560" s="1">
        <v>2.69E-2</v>
      </c>
      <c r="F6560" s="1">
        <v>8.7800000000000003E-2</v>
      </c>
      <c r="G6560" s="1">
        <v>1.41E-2</v>
      </c>
      <c r="H6560">
        <v>383</v>
      </c>
      <c r="I6560">
        <v>164</v>
      </c>
      <c r="J6560">
        <v>1973</v>
      </c>
    </row>
    <row r="6561" spans="1:10" x14ac:dyDescent="0.25">
      <c r="A6561" t="s">
        <v>200</v>
      </c>
      <c r="B6561" t="s">
        <v>203</v>
      </c>
      <c r="C6561" t="s">
        <v>348</v>
      </c>
      <c r="D6561" t="s">
        <v>1172</v>
      </c>
      <c r="E6561" s="1">
        <v>0.26190000000000002</v>
      </c>
      <c r="F6561" s="1">
        <v>0.24399999999999999</v>
      </c>
      <c r="G6561" s="1">
        <v>1.47E-2</v>
      </c>
      <c r="H6561">
        <v>383</v>
      </c>
      <c r="I6561">
        <v>164</v>
      </c>
      <c r="J6561">
        <v>1973</v>
      </c>
    </row>
    <row r="6562" spans="1:10" x14ac:dyDescent="0.25">
      <c r="A6562" t="s">
        <v>200</v>
      </c>
      <c r="B6562" t="s">
        <v>203</v>
      </c>
      <c r="C6562" t="s">
        <v>348</v>
      </c>
      <c r="D6562" t="s">
        <v>1173</v>
      </c>
      <c r="E6562" s="1">
        <v>0.54749999999999999</v>
      </c>
      <c r="F6562" s="1">
        <v>0.12790000000000001</v>
      </c>
      <c r="G6562" s="1">
        <v>1.47E-2</v>
      </c>
      <c r="H6562">
        <v>383</v>
      </c>
      <c r="I6562">
        <v>164</v>
      </c>
      <c r="J6562">
        <v>1973</v>
      </c>
    </row>
    <row r="6563" spans="1:10" x14ac:dyDescent="0.25">
      <c r="A6563" t="s">
        <v>200</v>
      </c>
      <c r="B6563" t="s">
        <v>203</v>
      </c>
      <c r="C6563" t="s">
        <v>349</v>
      </c>
      <c r="D6563" t="s">
        <v>220</v>
      </c>
      <c r="E6563" s="1">
        <v>7.1000000000000004E-3</v>
      </c>
      <c r="F6563" s="1">
        <v>0.1037</v>
      </c>
      <c r="G6563" s="1">
        <v>0.1983</v>
      </c>
      <c r="H6563">
        <v>52</v>
      </c>
      <c r="I6563">
        <v>82</v>
      </c>
      <c r="J6563">
        <v>1973</v>
      </c>
    </row>
    <row r="6564" spans="1:10" x14ac:dyDescent="0.25">
      <c r="A6564" t="s">
        <v>200</v>
      </c>
      <c r="B6564" t="s">
        <v>203</v>
      </c>
      <c r="C6564" t="s">
        <v>349</v>
      </c>
      <c r="D6564" t="s">
        <v>1175</v>
      </c>
      <c r="E6564" s="1">
        <v>1.8E-3</v>
      </c>
      <c r="F6564" s="1">
        <v>2.75E-2</v>
      </c>
      <c r="G6564" s="1">
        <v>0.11749999999999999</v>
      </c>
      <c r="H6564">
        <v>52</v>
      </c>
      <c r="I6564">
        <v>82</v>
      </c>
      <c r="J6564">
        <v>1973</v>
      </c>
    </row>
    <row r="6565" spans="1:10" x14ac:dyDescent="0.25">
      <c r="A6565" t="s">
        <v>200</v>
      </c>
      <c r="B6565" t="s">
        <v>203</v>
      </c>
      <c r="C6565" t="s">
        <v>349</v>
      </c>
      <c r="D6565" t="s">
        <v>1163</v>
      </c>
      <c r="E6565" s="1">
        <v>1.89E-2</v>
      </c>
      <c r="F6565" s="1">
        <v>4.3700000000000003E-2</v>
      </c>
      <c r="H6565">
        <v>52</v>
      </c>
      <c r="I6565">
        <v>82</v>
      </c>
      <c r="J6565">
        <v>1973</v>
      </c>
    </row>
    <row r="6566" spans="1:10" x14ac:dyDescent="0.25">
      <c r="A6566" t="s">
        <v>200</v>
      </c>
      <c r="B6566" t="s">
        <v>203</v>
      </c>
      <c r="C6566" t="s">
        <v>349</v>
      </c>
      <c r="D6566" t="s">
        <v>1164</v>
      </c>
      <c r="E6566" s="1">
        <v>4.7600000000000003E-2</v>
      </c>
      <c r="F6566" s="1">
        <v>0.13250000000000001</v>
      </c>
      <c r="G6566" s="1">
        <v>2.7799999999999998E-2</v>
      </c>
      <c r="H6566">
        <v>52</v>
      </c>
      <c r="I6566">
        <v>82</v>
      </c>
      <c r="J6566">
        <v>1973</v>
      </c>
    </row>
    <row r="6567" spans="1:10" x14ac:dyDescent="0.25">
      <c r="A6567" t="s">
        <v>200</v>
      </c>
      <c r="B6567" t="s">
        <v>203</v>
      </c>
      <c r="C6567" t="s">
        <v>349</v>
      </c>
      <c r="D6567" t="s">
        <v>1165</v>
      </c>
      <c r="E6567" s="1">
        <v>3.2000000000000002E-3</v>
      </c>
      <c r="F6567" s="1">
        <v>3.3599999999999998E-2</v>
      </c>
      <c r="G6567" s="1">
        <v>0.1762</v>
      </c>
      <c r="H6567">
        <v>52</v>
      </c>
      <c r="I6567">
        <v>82</v>
      </c>
      <c r="J6567">
        <v>1973</v>
      </c>
    </row>
    <row r="6568" spans="1:10" x14ac:dyDescent="0.25">
      <c r="A6568" t="s">
        <v>200</v>
      </c>
      <c r="B6568" t="s">
        <v>203</v>
      </c>
      <c r="C6568" t="s">
        <v>349</v>
      </c>
      <c r="D6568" t="s">
        <v>1179</v>
      </c>
      <c r="E6568" s="1">
        <v>9.7000000000000003E-3</v>
      </c>
      <c r="F6568" s="1">
        <v>3.0700000000000002E-2</v>
      </c>
      <c r="G6568" s="1">
        <v>5.8700000000000002E-2</v>
      </c>
      <c r="H6568">
        <v>52</v>
      </c>
      <c r="I6568">
        <v>82</v>
      </c>
      <c r="J6568">
        <v>1973</v>
      </c>
    </row>
    <row r="6569" spans="1:10" x14ac:dyDescent="0.25">
      <c r="A6569" t="s">
        <v>200</v>
      </c>
      <c r="B6569" t="s">
        <v>203</v>
      </c>
      <c r="C6569" t="s">
        <v>349</v>
      </c>
      <c r="D6569" t="s">
        <v>1166</v>
      </c>
      <c r="E6569" s="1">
        <v>5.3800000000000001E-2</v>
      </c>
      <c r="F6569" s="1">
        <v>0.2165</v>
      </c>
      <c r="G6569" s="1">
        <v>5.8700000000000002E-2</v>
      </c>
      <c r="H6569">
        <v>52</v>
      </c>
      <c r="I6569">
        <v>82</v>
      </c>
      <c r="J6569">
        <v>1973</v>
      </c>
    </row>
    <row r="6570" spans="1:10" x14ac:dyDescent="0.25">
      <c r="A6570" t="s">
        <v>200</v>
      </c>
      <c r="B6570" t="s">
        <v>203</v>
      </c>
      <c r="C6570" t="s">
        <v>349</v>
      </c>
      <c r="D6570" t="s">
        <v>1168</v>
      </c>
      <c r="E6570" s="1">
        <v>1.89E-2</v>
      </c>
      <c r="F6570" s="1">
        <v>1.2999999999999999E-2</v>
      </c>
      <c r="G6570" s="1">
        <v>5.8700000000000002E-2</v>
      </c>
      <c r="H6570">
        <v>52</v>
      </c>
      <c r="I6570">
        <v>82</v>
      </c>
      <c r="J6570">
        <v>1973</v>
      </c>
    </row>
    <row r="6571" spans="1:10" x14ac:dyDescent="0.25">
      <c r="A6571" t="s">
        <v>200</v>
      </c>
      <c r="B6571" t="s">
        <v>203</v>
      </c>
      <c r="C6571" t="s">
        <v>349</v>
      </c>
      <c r="D6571" t="s">
        <v>1180</v>
      </c>
      <c r="E6571" s="1">
        <v>3.5000000000000001E-3</v>
      </c>
      <c r="F6571" s="1">
        <v>1.9E-3</v>
      </c>
      <c r="H6571">
        <v>52</v>
      </c>
      <c r="I6571">
        <v>82</v>
      </c>
      <c r="J6571">
        <v>1973</v>
      </c>
    </row>
    <row r="6572" spans="1:10" x14ac:dyDescent="0.25">
      <c r="A6572" t="s">
        <v>200</v>
      </c>
      <c r="B6572" t="s">
        <v>203</v>
      </c>
      <c r="C6572" t="s">
        <v>349</v>
      </c>
      <c r="D6572" t="s">
        <v>1172</v>
      </c>
      <c r="E6572" s="1">
        <v>0.48749999999999999</v>
      </c>
      <c r="F6572" s="1">
        <v>9.3600000000000003E-2</v>
      </c>
      <c r="G6572" s="1">
        <v>4.9700000000000001E-2</v>
      </c>
      <c r="H6572">
        <v>52</v>
      </c>
      <c r="I6572">
        <v>82</v>
      </c>
      <c r="J6572">
        <v>1973</v>
      </c>
    </row>
    <row r="6573" spans="1:10" x14ac:dyDescent="0.25">
      <c r="A6573" t="s">
        <v>200</v>
      </c>
      <c r="B6573" t="s">
        <v>203</v>
      </c>
      <c r="C6573" t="s">
        <v>349</v>
      </c>
      <c r="D6573" t="s">
        <v>1173</v>
      </c>
      <c r="E6573" s="1">
        <v>0.34789999999999999</v>
      </c>
      <c r="F6573" s="1">
        <v>0.20349999999999999</v>
      </c>
      <c r="G6573" s="1">
        <v>5.8799999999999998E-2</v>
      </c>
      <c r="H6573">
        <v>52</v>
      </c>
      <c r="I6573">
        <v>82</v>
      </c>
      <c r="J6573">
        <v>1973</v>
      </c>
    </row>
    <row r="6574" spans="1:10" x14ac:dyDescent="0.25">
      <c r="A6574" t="s">
        <v>200</v>
      </c>
      <c r="B6574" t="s">
        <v>203</v>
      </c>
      <c r="C6574" t="s">
        <v>350</v>
      </c>
      <c r="D6574" t="s">
        <v>1174</v>
      </c>
      <c r="E6574" s="1">
        <v>2.5999999999999999E-3</v>
      </c>
      <c r="F6574" s="1">
        <v>7.4000000000000003E-3</v>
      </c>
      <c r="H6574">
        <v>19</v>
      </c>
      <c r="I6574">
        <v>68</v>
      </c>
      <c r="J6574">
        <v>1973</v>
      </c>
    </row>
    <row r="6575" spans="1:10" x14ac:dyDescent="0.25">
      <c r="A6575" t="s">
        <v>200</v>
      </c>
      <c r="B6575" t="s">
        <v>203</v>
      </c>
      <c r="C6575" t="s">
        <v>350</v>
      </c>
      <c r="D6575" t="s">
        <v>220</v>
      </c>
      <c r="E6575" s="1">
        <v>2.1399999999999999E-2</v>
      </c>
      <c r="F6575" s="1">
        <v>8.14E-2</v>
      </c>
      <c r="G6575" s="1">
        <v>0.20399999999999999</v>
      </c>
      <c r="H6575">
        <v>19</v>
      </c>
      <c r="I6575">
        <v>68</v>
      </c>
      <c r="J6575">
        <v>1973</v>
      </c>
    </row>
    <row r="6576" spans="1:10" x14ac:dyDescent="0.25">
      <c r="A6576" t="s">
        <v>200</v>
      </c>
      <c r="B6576" t="s">
        <v>203</v>
      </c>
      <c r="C6576" t="s">
        <v>350</v>
      </c>
      <c r="D6576" t="s">
        <v>1175</v>
      </c>
      <c r="E6576" s="1">
        <v>4.2900000000000001E-2</v>
      </c>
      <c r="F6576" s="1">
        <v>0.1048</v>
      </c>
      <c r="G6576" s="1">
        <v>5.5500000000000001E-2</v>
      </c>
      <c r="H6576">
        <v>19</v>
      </c>
      <c r="I6576">
        <v>68</v>
      </c>
      <c r="J6576">
        <v>1973</v>
      </c>
    </row>
    <row r="6577" spans="1:10" x14ac:dyDescent="0.25">
      <c r="A6577" t="s">
        <v>200</v>
      </c>
      <c r="B6577" t="s">
        <v>203</v>
      </c>
      <c r="C6577" t="s">
        <v>350</v>
      </c>
      <c r="D6577" t="s">
        <v>1176</v>
      </c>
      <c r="E6577" s="1">
        <v>3.0999999999999999E-3</v>
      </c>
      <c r="F6577" s="1">
        <v>3.8199999999999998E-2</v>
      </c>
      <c r="G6577" s="1">
        <v>5.5500000000000001E-2</v>
      </c>
      <c r="H6577">
        <v>19</v>
      </c>
      <c r="I6577">
        <v>68</v>
      </c>
      <c r="J6577">
        <v>1973</v>
      </c>
    </row>
    <row r="6578" spans="1:10" x14ac:dyDescent="0.25">
      <c r="A6578" t="s">
        <v>200</v>
      </c>
      <c r="B6578" t="s">
        <v>203</v>
      </c>
      <c r="C6578" t="s">
        <v>350</v>
      </c>
      <c r="D6578" t="s">
        <v>1163</v>
      </c>
      <c r="E6578" s="1">
        <v>6.0199999999999997E-2</v>
      </c>
      <c r="G6578" s="1">
        <v>6.6E-3</v>
      </c>
      <c r="H6578">
        <v>19</v>
      </c>
      <c r="I6578">
        <v>68</v>
      </c>
      <c r="J6578">
        <v>1973</v>
      </c>
    </row>
    <row r="6579" spans="1:10" x14ac:dyDescent="0.25">
      <c r="A6579" t="s">
        <v>200</v>
      </c>
      <c r="B6579" t="s">
        <v>203</v>
      </c>
      <c r="C6579" t="s">
        <v>350</v>
      </c>
      <c r="D6579" t="s">
        <v>1181</v>
      </c>
      <c r="E6579" s="1">
        <v>2.1399999999999999E-2</v>
      </c>
      <c r="H6579">
        <v>19</v>
      </c>
      <c r="I6579">
        <v>68</v>
      </c>
      <c r="J6579">
        <v>1973</v>
      </c>
    </row>
    <row r="6580" spans="1:10" x14ac:dyDescent="0.25">
      <c r="A6580" t="s">
        <v>200</v>
      </c>
      <c r="B6580" t="s">
        <v>203</v>
      </c>
      <c r="C6580" t="s">
        <v>350</v>
      </c>
      <c r="D6580" t="s">
        <v>1164</v>
      </c>
      <c r="E6580" s="1">
        <v>1.9099999999999999E-2</v>
      </c>
      <c r="F6580" s="1">
        <v>3.3700000000000001E-2</v>
      </c>
      <c r="H6580">
        <v>19</v>
      </c>
      <c r="I6580">
        <v>68</v>
      </c>
      <c r="J6580">
        <v>1973</v>
      </c>
    </row>
    <row r="6581" spans="1:10" x14ac:dyDescent="0.25">
      <c r="A6581" t="s">
        <v>200</v>
      </c>
      <c r="B6581" t="s">
        <v>203</v>
      </c>
      <c r="C6581" t="s">
        <v>350</v>
      </c>
      <c r="D6581" t="s">
        <v>1165</v>
      </c>
      <c r="E6581" s="1">
        <v>6.4399999999999999E-2</v>
      </c>
      <c r="F6581" s="1">
        <v>6.6600000000000006E-2</v>
      </c>
      <c r="G6581" s="1">
        <v>0.16650000000000001</v>
      </c>
      <c r="H6581">
        <v>19</v>
      </c>
      <c r="I6581">
        <v>68</v>
      </c>
      <c r="J6581">
        <v>1973</v>
      </c>
    </row>
    <row r="6582" spans="1:10" x14ac:dyDescent="0.25">
      <c r="A6582" t="s">
        <v>200</v>
      </c>
      <c r="B6582" t="s">
        <v>203</v>
      </c>
      <c r="C6582" t="s">
        <v>350</v>
      </c>
      <c r="D6582" t="s">
        <v>1166</v>
      </c>
      <c r="E6582" s="1">
        <v>5.5999999999999999E-3</v>
      </c>
      <c r="F6582" s="1">
        <v>3.3300000000000003E-2</v>
      </c>
      <c r="G6582" s="1">
        <v>7.9000000000000008E-3</v>
      </c>
      <c r="H6582">
        <v>19</v>
      </c>
      <c r="I6582">
        <v>68</v>
      </c>
      <c r="J6582">
        <v>1973</v>
      </c>
    </row>
    <row r="6583" spans="1:10" x14ac:dyDescent="0.25">
      <c r="A6583" t="s">
        <v>200</v>
      </c>
      <c r="B6583" t="s">
        <v>203</v>
      </c>
      <c r="C6583" t="s">
        <v>350</v>
      </c>
      <c r="D6583" t="s">
        <v>1168</v>
      </c>
      <c r="E6583" s="1">
        <v>2.1399999999999999E-2</v>
      </c>
      <c r="F6583" s="1">
        <v>0.13700000000000001</v>
      </c>
      <c r="G6583" s="1">
        <v>0.13150000000000001</v>
      </c>
      <c r="H6583">
        <v>19</v>
      </c>
      <c r="I6583">
        <v>68</v>
      </c>
      <c r="J6583">
        <v>1973</v>
      </c>
    </row>
    <row r="6584" spans="1:10" x14ac:dyDescent="0.25">
      <c r="A6584" t="s">
        <v>200</v>
      </c>
      <c r="B6584" t="s">
        <v>203</v>
      </c>
      <c r="C6584" t="s">
        <v>350</v>
      </c>
      <c r="D6584" t="s">
        <v>1171</v>
      </c>
      <c r="E6584" s="1">
        <v>4.7999999999999996E-3</v>
      </c>
      <c r="H6584">
        <v>19</v>
      </c>
      <c r="I6584">
        <v>68</v>
      </c>
      <c r="J6584">
        <v>1973</v>
      </c>
    </row>
    <row r="6585" spans="1:10" x14ac:dyDescent="0.25">
      <c r="A6585" t="s">
        <v>200</v>
      </c>
      <c r="B6585" t="s">
        <v>203</v>
      </c>
      <c r="C6585" t="s">
        <v>350</v>
      </c>
      <c r="D6585" t="s">
        <v>1172</v>
      </c>
      <c r="E6585" s="1">
        <v>0.1953</v>
      </c>
      <c r="F6585" s="1">
        <v>0.2334</v>
      </c>
      <c r="G6585" s="1">
        <v>0.1356</v>
      </c>
      <c r="H6585">
        <v>19</v>
      </c>
      <c r="I6585">
        <v>68</v>
      </c>
      <c r="J6585">
        <v>1973</v>
      </c>
    </row>
    <row r="6586" spans="1:10" x14ac:dyDescent="0.25">
      <c r="A6586" t="s">
        <v>200</v>
      </c>
      <c r="B6586" t="s">
        <v>203</v>
      </c>
      <c r="C6586" t="s">
        <v>350</v>
      </c>
      <c r="D6586" t="s">
        <v>1173</v>
      </c>
      <c r="E6586" s="1">
        <v>0.53300000000000003</v>
      </c>
      <c r="F6586" s="1">
        <v>8.6199999999999999E-2</v>
      </c>
      <c r="G6586" s="1">
        <v>6.3700000000000007E-2</v>
      </c>
      <c r="H6586">
        <v>19</v>
      </c>
      <c r="I6586">
        <v>68</v>
      </c>
      <c r="J6586">
        <v>1973</v>
      </c>
    </row>
    <row r="6587" spans="1:10" x14ac:dyDescent="0.25">
      <c r="A6587" t="s">
        <v>200</v>
      </c>
      <c r="B6587" t="s">
        <v>203</v>
      </c>
      <c r="C6587" t="s">
        <v>350</v>
      </c>
      <c r="D6587" t="s">
        <v>235</v>
      </c>
      <c r="E6587" s="1">
        <v>4.7999999999999996E-3</v>
      </c>
      <c r="F6587" s="1">
        <v>3.3300000000000003E-2</v>
      </c>
      <c r="H6587">
        <v>19</v>
      </c>
      <c r="I6587">
        <v>68</v>
      </c>
      <c r="J6587">
        <v>1973</v>
      </c>
    </row>
    <row r="6588" spans="1:10" x14ac:dyDescent="0.25">
      <c r="A6588" t="s">
        <v>201</v>
      </c>
      <c r="B6588" t="s">
        <v>203</v>
      </c>
      <c r="C6588" t="s">
        <v>348</v>
      </c>
      <c r="D6588" t="s">
        <v>1175</v>
      </c>
      <c r="E6588" s="1">
        <v>1.72E-2</v>
      </c>
      <c r="F6588" s="1">
        <v>9.0499999999999997E-2</v>
      </c>
      <c r="G6588" s="1">
        <v>2.3599999999999999E-2</v>
      </c>
      <c r="H6588">
        <v>11</v>
      </c>
      <c r="I6588">
        <v>49</v>
      </c>
      <c r="J6588">
        <v>1973</v>
      </c>
    </row>
    <row r="6589" spans="1:10" x14ac:dyDescent="0.25">
      <c r="A6589" t="s">
        <v>201</v>
      </c>
      <c r="B6589" t="s">
        <v>203</v>
      </c>
      <c r="C6589" t="s">
        <v>348</v>
      </c>
      <c r="D6589" t="s">
        <v>1176</v>
      </c>
      <c r="E6589" s="1">
        <v>4.0500000000000001E-2</v>
      </c>
      <c r="F6589" s="1">
        <v>0.13089999999999999</v>
      </c>
      <c r="G6589" s="1">
        <v>8.7900000000000006E-2</v>
      </c>
      <c r="H6589">
        <v>11</v>
      </c>
      <c r="I6589">
        <v>49</v>
      </c>
      <c r="J6589">
        <v>1973</v>
      </c>
    </row>
    <row r="6590" spans="1:10" x14ac:dyDescent="0.25">
      <c r="A6590" t="s">
        <v>201</v>
      </c>
      <c r="B6590" t="s">
        <v>203</v>
      </c>
      <c r="C6590" t="s">
        <v>348</v>
      </c>
      <c r="D6590" t="s">
        <v>1164</v>
      </c>
      <c r="E6590" s="1">
        <v>4.02E-2</v>
      </c>
      <c r="F6590" s="1">
        <v>0.15260000000000001</v>
      </c>
      <c r="G6590" s="1">
        <v>9.1399999999999995E-2</v>
      </c>
      <c r="H6590">
        <v>11</v>
      </c>
      <c r="I6590">
        <v>49</v>
      </c>
      <c r="J6590">
        <v>1973</v>
      </c>
    </row>
    <row r="6591" spans="1:10" x14ac:dyDescent="0.25">
      <c r="A6591" t="s">
        <v>201</v>
      </c>
      <c r="B6591" t="s">
        <v>203</v>
      </c>
      <c r="C6591" t="s">
        <v>348</v>
      </c>
      <c r="D6591" t="s">
        <v>1165</v>
      </c>
      <c r="E6591" s="1">
        <v>2.3300000000000001E-2</v>
      </c>
      <c r="F6591" s="1">
        <v>6.3100000000000003E-2</v>
      </c>
      <c r="G6591" s="1">
        <v>0.12379999999999999</v>
      </c>
      <c r="H6591">
        <v>11</v>
      </c>
      <c r="I6591">
        <v>49</v>
      </c>
      <c r="J6591">
        <v>1973</v>
      </c>
    </row>
    <row r="6592" spans="1:10" x14ac:dyDescent="0.25">
      <c r="A6592" t="s">
        <v>201</v>
      </c>
      <c r="B6592" t="s">
        <v>203</v>
      </c>
      <c r="C6592" t="s">
        <v>348</v>
      </c>
      <c r="D6592" t="s">
        <v>1177</v>
      </c>
      <c r="E6592" s="1">
        <v>1.5900000000000001E-2</v>
      </c>
      <c r="F6592" s="1">
        <v>0.17480000000000001</v>
      </c>
      <c r="G6592" s="1">
        <v>3.4599999999999999E-2</v>
      </c>
      <c r="H6592">
        <v>11</v>
      </c>
      <c r="I6592">
        <v>49</v>
      </c>
      <c r="J6592">
        <v>1973</v>
      </c>
    </row>
    <row r="6593" spans="1:10" x14ac:dyDescent="0.25">
      <c r="A6593" t="s">
        <v>201</v>
      </c>
      <c r="B6593" t="s">
        <v>203</v>
      </c>
      <c r="C6593" t="s">
        <v>348</v>
      </c>
      <c r="D6593" t="s">
        <v>1166</v>
      </c>
      <c r="E6593" s="1">
        <v>2.4299999999999999E-2</v>
      </c>
      <c r="F6593" s="1">
        <v>0.1535</v>
      </c>
      <c r="G6593" s="1">
        <v>3.2800000000000003E-2</v>
      </c>
      <c r="H6593">
        <v>11</v>
      </c>
      <c r="I6593">
        <v>49</v>
      </c>
      <c r="J6593">
        <v>1973</v>
      </c>
    </row>
    <row r="6594" spans="1:10" x14ac:dyDescent="0.25">
      <c r="A6594" t="s">
        <v>201</v>
      </c>
      <c r="B6594" t="s">
        <v>203</v>
      </c>
      <c r="C6594" t="s">
        <v>348</v>
      </c>
      <c r="D6594" t="s">
        <v>1168</v>
      </c>
      <c r="E6594" s="1">
        <v>1.77E-2</v>
      </c>
      <c r="F6594" s="1">
        <v>5.57E-2</v>
      </c>
      <c r="G6594" s="1">
        <v>0.1183</v>
      </c>
      <c r="H6594">
        <v>11</v>
      </c>
      <c r="I6594">
        <v>49</v>
      </c>
      <c r="J6594">
        <v>1973</v>
      </c>
    </row>
    <row r="6595" spans="1:10" x14ac:dyDescent="0.25">
      <c r="A6595" t="s">
        <v>201</v>
      </c>
      <c r="B6595" t="s">
        <v>203</v>
      </c>
      <c r="C6595" t="s">
        <v>348</v>
      </c>
      <c r="D6595" t="s">
        <v>1180</v>
      </c>
      <c r="E6595" s="1">
        <v>1.72E-2</v>
      </c>
      <c r="G6595" s="1">
        <v>0.16389999999999999</v>
      </c>
      <c r="H6595">
        <v>11</v>
      </c>
      <c r="I6595">
        <v>49</v>
      </c>
      <c r="J6595">
        <v>1973</v>
      </c>
    </row>
    <row r="6596" spans="1:10" x14ac:dyDescent="0.25">
      <c r="A6596" t="s">
        <v>201</v>
      </c>
      <c r="B6596" t="s">
        <v>203</v>
      </c>
      <c r="C6596" t="s">
        <v>348</v>
      </c>
      <c r="D6596" t="s">
        <v>1172</v>
      </c>
      <c r="E6596" s="1">
        <v>0.65869999999999995</v>
      </c>
      <c r="F6596" s="1">
        <v>9.0999999999999998E-2</v>
      </c>
      <c r="G6596" s="1">
        <v>9.1999999999999998E-3</v>
      </c>
      <c r="H6596">
        <v>11</v>
      </c>
      <c r="I6596">
        <v>49</v>
      </c>
      <c r="J6596">
        <v>1973</v>
      </c>
    </row>
    <row r="6597" spans="1:10" x14ac:dyDescent="0.25">
      <c r="A6597" t="s">
        <v>201</v>
      </c>
      <c r="B6597" t="s">
        <v>203</v>
      </c>
      <c r="C6597" t="s">
        <v>348</v>
      </c>
      <c r="D6597" t="s">
        <v>1173</v>
      </c>
      <c r="E6597" s="1">
        <v>0.13600000000000001</v>
      </c>
      <c r="F6597" s="1">
        <v>4.4200000000000003E-2</v>
      </c>
      <c r="G6597" s="1">
        <v>4.4900000000000002E-2</v>
      </c>
      <c r="H6597">
        <v>11</v>
      </c>
      <c r="I6597">
        <v>49</v>
      </c>
      <c r="J6597">
        <v>1973</v>
      </c>
    </row>
    <row r="6598" spans="1:10" x14ac:dyDescent="0.25">
      <c r="A6598" t="s">
        <v>201</v>
      </c>
      <c r="B6598" t="s">
        <v>203</v>
      </c>
      <c r="C6598" t="s">
        <v>348</v>
      </c>
      <c r="D6598" t="s">
        <v>1183</v>
      </c>
      <c r="E6598" s="1">
        <v>8.8999999999999999E-3</v>
      </c>
      <c r="H6598">
        <v>11</v>
      </c>
      <c r="I6598">
        <v>49</v>
      </c>
      <c r="J6598">
        <v>1973</v>
      </c>
    </row>
    <row r="6599" spans="1:10" x14ac:dyDescent="0.25">
      <c r="A6599" t="s">
        <v>201</v>
      </c>
      <c r="B6599" t="s">
        <v>203</v>
      </c>
      <c r="C6599" t="s">
        <v>349</v>
      </c>
      <c r="D6599" t="s">
        <v>1174</v>
      </c>
      <c r="E6599" s="1">
        <v>1.3100000000000001E-2</v>
      </c>
      <c r="G6599" s="1">
        <v>4.02E-2</v>
      </c>
      <c r="H6599">
        <v>75</v>
      </c>
      <c r="I6599">
        <v>117</v>
      </c>
      <c r="J6599">
        <v>1973</v>
      </c>
    </row>
    <row r="6600" spans="1:10" x14ac:dyDescent="0.25">
      <c r="A6600" t="s">
        <v>201</v>
      </c>
      <c r="B6600" t="s">
        <v>203</v>
      </c>
      <c r="C6600" t="s">
        <v>349</v>
      </c>
      <c r="D6600" t="s">
        <v>220</v>
      </c>
      <c r="E6600" s="1">
        <v>2.6499999999999999E-2</v>
      </c>
      <c r="G6600" s="1">
        <v>7.7700000000000005E-2</v>
      </c>
      <c r="H6600">
        <v>75</v>
      </c>
      <c r="I6600">
        <v>117</v>
      </c>
      <c r="J6600">
        <v>1973</v>
      </c>
    </row>
    <row r="6601" spans="1:10" x14ac:dyDescent="0.25">
      <c r="A6601" t="s">
        <v>201</v>
      </c>
      <c r="B6601" t="s">
        <v>203</v>
      </c>
      <c r="C6601" t="s">
        <v>349</v>
      </c>
      <c r="D6601" t="s">
        <v>1175</v>
      </c>
      <c r="E6601" s="1">
        <v>1.9300000000000001E-2</v>
      </c>
      <c r="F6601" s="1">
        <v>6.8400000000000002E-2</v>
      </c>
      <c r="G6601" s="1">
        <v>0.19209999999999999</v>
      </c>
      <c r="H6601">
        <v>75</v>
      </c>
      <c r="I6601">
        <v>117</v>
      </c>
      <c r="J6601">
        <v>1973</v>
      </c>
    </row>
    <row r="6602" spans="1:10" x14ac:dyDescent="0.25">
      <c r="A6602" t="s">
        <v>201</v>
      </c>
      <c r="B6602" t="s">
        <v>203</v>
      </c>
      <c r="C6602" t="s">
        <v>349</v>
      </c>
      <c r="D6602" t="s">
        <v>1176</v>
      </c>
      <c r="E6602" s="1">
        <v>2.0500000000000001E-2</v>
      </c>
      <c r="F6602" s="1">
        <v>4.0899999999999999E-2</v>
      </c>
      <c r="G6602" s="1">
        <v>7.6E-3</v>
      </c>
      <c r="H6602">
        <v>75</v>
      </c>
      <c r="I6602">
        <v>117</v>
      </c>
      <c r="J6602">
        <v>1973</v>
      </c>
    </row>
    <row r="6603" spans="1:10" x14ac:dyDescent="0.25">
      <c r="A6603" t="s">
        <v>201</v>
      </c>
      <c r="B6603" t="s">
        <v>203</v>
      </c>
      <c r="C6603" t="s">
        <v>349</v>
      </c>
      <c r="D6603" t="s">
        <v>1163</v>
      </c>
      <c r="E6603" s="1">
        <v>0.01</v>
      </c>
      <c r="F6603" s="1">
        <v>1.3599999999999999E-2</v>
      </c>
      <c r="H6603">
        <v>75</v>
      </c>
      <c r="I6603">
        <v>117</v>
      </c>
      <c r="J6603">
        <v>1973</v>
      </c>
    </row>
    <row r="6604" spans="1:10" x14ac:dyDescent="0.25">
      <c r="A6604" t="s">
        <v>201</v>
      </c>
      <c r="B6604" t="s">
        <v>203</v>
      </c>
      <c r="C6604" t="s">
        <v>349</v>
      </c>
      <c r="D6604" t="s">
        <v>1181</v>
      </c>
      <c r="E6604" s="1">
        <v>4.0000000000000002E-4</v>
      </c>
      <c r="H6604">
        <v>75</v>
      </c>
      <c r="I6604">
        <v>117</v>
      </c>
      <c r="J6604">
        <v>1973</v>
      </c>
    </row>
    <row r="6605" spans="1:10" x14ac:dyDescent="0.25">
      <c r="A6605" t="s">
        <v>201</v>
      </c>
      <c r="B6605" t="s">
        <v>203</v>
      </c>
      <c r="C6605" t="s">
        <v>349</v>
      </c>
      <c r="D6605" t="s">
        <v>1164</v>
      </c>
      <c r="E6605" s="1">
        <v>0.1042</v>
      </c>
      <c r="F6605" s="1">
        <v>5.7000000000000002E-3</v>
      </c>
      <c r="G6605" s="1">
        <v>9.2299999999999993E-2</v>
      </c>
      <c r="H6605">
        <v>75</v>
      </c>
      <c r="I6605">
        <v>117</v>
      </c>
      <c r="J6605">
        <v>1973</v>
      </c>
    </row>
    <row r="6606" spans="1:10" x14ac:dyDescent="0.25">
      <c r="A6606" t="s">
        <v>201</v>
      </c>
      <c r="B6606" t="s">
        <v>203</v>
      </c>
      <c r="C6606" t="s">
        <v>349</v>
      </c>
      <c r="D6606" t="s">
        <v>1165</v>
      </c>
      <c r="E6606" s="1">
        <v>3.5000000000000001E-3</v>
      </c>
      <c r="F6606" s="1">
        <v>2.0199999999999999E-2</v>
      </c>
      <c r="G6606" s="1">
        <v>2.5700000000000001E-2</v>
      </c>
      <c r="H6606">
        <v>75</v>
      </c>
      <c r="I6606">
        <v>117</v>
      </c>
      <c r="J6606">
        <v>1973</v>
      </c>
    </row>
    <row r="6607" spans="1:10" x14ac:dyDescent="0.25">
      <c r="A6607" t="s">
        <v>201</v>
      </c>
      <c r="B6607" t="s">
        <v>203</v>
      </c>
      <c r="C6607" t="s">
        <v>349</v>
      </c>
      <c r="D6607" t="s">
        <v>1177</v>
      </c>
      <c r="E6607" s="1">
        <v>5.9700000000000003E-2</v>
      </c>
      <c r="F6607" s="1">
        <v>0.2019</v>
      </c>
      <c r="G6607" s="1">
        <v>0.15179999999999999</v>
      </c>
      <c r="H6607">
        <v>75</v>
      </c>
      <c r="I6607">
        <v>117</v>
      </c>
      <c r="J6607">
        <v>1973</v>
      </c>
    </row>
    <row r="6608" spans="1:10" x14ac:dyDescent="0.25">
      <c r="A6608" t="s">
        <v>201</v>
      </c>
      <c r="B6608" t="s">
        <v>203</v>
      </c>
      <c r="C6608" t="s">
        <v>349</v>
      </c>
      <c r="D6608" t="s">
        <v>1178</v>
      </c>
      <c r="E6608" s="1">
        <v>1.3100000000000001E-2</v>
      </c>
      <c r="F6608" s="1">
        <v>1.1000000000000001E-3</v>
      </c>
      <c r="G6608" s="1">
        <v>2.5700000000000001E-2</v>
      </c>
      <c r="H6608">
        <v>75</v>
      </c>
      <c r="I6608">
        <v>117</v>
      </c>
      <c r="J6608">
        <v>1973</v>
      </c>
    </row>
    <row r="6609" spans="1:10" x14ac:dyDescent="0.25">
      <c r="A6609" t="s">
        <v>201</v>
      </c>
      <c r="B6609" t="s">
        <v>203</v>
      </c>
      <c r="C6609" t="s">
        <v>349</v>
      </c>
      <c r="D6609" t="s">
        <v>1179</v>
      </c>
      <c r="E6609" s="1">
        <v>4.2500000000000003E-2</v>
      </c>
      <c r="F6609" s="1">
        <v>7.0900000000000005E-2</v>
      </c>
      <c r="G6609" s="1">
        <v>1.5E-3</v>
      </c>
      <c r="H6609">
        <v>75</v>
      </c>
      <c r="I6609">
        <v>117</v>
      </c>
      <c r="J6609">
        <v>1973</v>
      </c>
    </row>
    <row r="6610" spans="1:10" x14ac:dyDescent="0.25">
      <c r="A6610" t="s">
        <v>201</v>
      </c>
      <c r="B6610" t="s">
        <v>203</v>
      </c>
      <c r="C6610" t="s">
        <v>349</v>
      </c>
      <c r="D6610" t="s">
        <v>1168</v>
      </c>
      <c r="E6610" s="1">
        <v>1.34E-2</v>
      </c>
      <c r="F6610" s="1">
        <v>0.03</v>
      </c>
      <c r="G6610" s="1">
        <v>0.1149</v>
      </c>
      <c r="H6610">
        <v>75</v>
      </c>
      <c r="I6610">
        <v>117</v>
      </c>
      <c r="J6610">
        <v>1973</v>
      </c>
    </row>
    <row r="6611" spans="1:10" x14ac:dyDescent="0.25">
      <c r="A6611" t="s">
        <v>201</v>
      </c>
      <c r="B6611" t="s">
        <v>203</v>
      </c>
      <c r="C6611" t="s">
        <v>349</v>
      </c>
      <c r="D6611" t="s">
        <v>1169</v>
      </c>
      <c r="E6611" s="1">
        <v>4.0000000000000002E-4</v>
      </c>
      <c r="F6611" s="1">
        <v>4.0000000000000001E-3</v>
      </c>
      <c r="H6611">
        <v>75</v>
      </c>
      <c r="I6611">
        <v>117</v>
      </c>
      <c r="J6611">
        <v>1973</v>
      </c>
    </row>
    <row r="6612" spans="1:10" x14ac:dyDescent="0.25">
      <c r="A6612" t="s">
        <v>201</v>
      </c>
      <c r="B6612" t="s">
        <v>203</v>
      </c>
      <c r="C6612" t="s">
        <v>349</v>
      </c>
      <c r="D6612" t="s">
        <v>1172</v>
      </c>
      <c r="E6612" s="1">
        <v>0.2412</v>
      </c>
      <c r="F6612" s="1">
        <v>0.33200000000000002</v>
      </c>
      <c r="G6612" s="1">
        <v>0.15</v>
      </c>
      <c r="H6612">
        <v>75</v>
      </c>
      <c r="I6612">
        <v>117</v>
      </c>
      <c r="J6612">
        <v>1973</v>
      </c>
    </row>
    <row r="6613" spans="1:10" x14ac:dyDescent="0.25">
      <c r="A6613" t="s">
        <v>201</v>
      </c>
      <c r="B6613" t="s">
        <v>203</v>
      </c>
      <c r="C6613" t="s">
        <v>349</v>
      </c>
      <c r="D6613" t="s">
        <v>1173</v>
      </c>
      <c r="E6613" s="1">
        <v>0.43190000000000001</v>
      </c>
      <c r="F6613" s="1">
        <v>0.1074</v>
      </c>
      <c r="G6613" s="1">
        <v>3.1800000000000002E-2</v>
      </c>
      <c r="H6613">
        <v>75</v>
      </c>
      <c r="I6613">
        <v>117</v>
      </c>
      <c r="J6613">
        <v>1973</v>
      </c>
    </row>
    <row r="6614" spans="1:10" x14ac:dyDescent="0.25">
      <c r="A6614" t="s">
        <v>201</v>
      </c>
      <c r="B6614" t="s">
        <v>203</v>
      </c>
      <c r="C6614" t="s">
        <v>349</v>
      </c>
      <c r="D6614" t="s">
        <v>1183</v>
      </c>
      <c r="E6614" s="1">
        <v>4.0000000000000002E-4</v>
      </c>
      <c r="F6614" s="1">
        <v>2.4299999999999999E-2</v>
      </c>
      <c r="G6614" s="1">
        <v>6.8999999999999999E-3</v>
      </c>
      <c r="H6614">
        <v>75</v>
      </c>
      <c r="I6614">
        <v>117</v>
      </c>
      <c r="J6614">
        <v>1973</v>
      </c>
    </row>
    <row r="6615" spans="1:10" x14ac:dyDescent="0.25">
      <c r="A6615" t="s">
        <v>201</v>
      </c>
      <c r="B6615" t="s">
        <v>203</v>
      </c>
      <c r="C6615" t="s">
        <v>350</v>
      </c>
      <c r="D6615" t="s">
        <v>1174</v>
      </c>
      <c r="E6615" s="1">
        <v>2.0299999999999999E-2</v>
      </c>
      <c r="G6615" s="1">
        <v>4.4900000000000002E-2</v>
      </c>
      <c r="H6615">
        <v>8</v>
      </c>
      <c r="I6615">
        <v>81</v>
      </c>
      <c r="J6615">
        <v>1973</v>
      </c>
    </row>
    <row r="6616" spans="1:10" x14ac:dyDescent="0.25">
      <c r="A6616" t="s">
        <v>201</v>
      </c>
      <c r="B6616" t="s">
        <v>203</v>
      </c>
      <c r="C6616" t="s">
        <v>350</v>
      </c>
      <c r="D6616" t="s">
        <v>220</v>
      </c>
      <c r="E6616" s="1">
        <v>7.1300000000000002E-2</v>
      </c>
      <c r="F6616" s="1">
        <v>9.0700000000000003E-2</v>
      </c>
      <c r="G6616" s="1">
        <v>9.6299999999999997E-2</v>
      </c>
      <c r="H6616">
        <v>8</v>
      </c>
      <c r="I6616">
        <v>81</v>
      </c>
      <c r="J6616">
        <v>1973</v>
      </c>
    </row>
    <row r="6617" spans="1:10" x14ac:dyDescent="0.25">
      <c r="A6617" t="s">
        <v>201</v>
      </c>
      <c r="B6617" t="s">
        <v>203</v>
      </c>
      <c r="C6617" t="s">
        <v>350</v>
      </c>
      <c r="D6617" t="s">
        <v>1175</v>
      </c>
      <c r="E6617" s="1">
        <v>3.3999999999999998E-3</v>
      </c>
      <c r="F6617" s="1">
        <v>4.1999999999999997E-3</v>
      </c>
      <c r="G6617" s="1">
        <v>0.1152</v>
      </c>
      <c r="H6617">
        <v>8</v>
      </c>
      <c r="I6617">
        <v>81</v>
      </c>
      <c r="J6617">
        <v>1973</v>
      </c>
    </row>
    <row r="6618" spans="1:10" x14ac:dyDescent="0.25">
      <c r="A6618" t="s">
        <v>201</v>
      </c>
      <c r="B6618" t="s">
        <v>203</v>
      </c>
      <c r="C6618" t="s">
        <v>350</v>
      </c>
      <c r="D6618" t="s">
        <v>1176</v>
      </c>
      <c r="E6618" s="1">
        <v>3.0599999999999999E-2</v>
      </c>
      <c r="F6618" s="1">
        <v>8.3999999999999995E-3</v>
      </c>
      <c r="H6618">
        <v>8</v>
      </c>
      <c r="I6618">
        <v>81</v>
      </c>
      <c r="J6618">
        <v>1973</v>
      </c>
    </row>
    <row r="6619" spans="1:10" x14ac:dyDescent="0.25">
      <c r="A6619" t="s">
        <v>201</v>
      </c>
      <c r="B6619" t="s">
        <v>203</v>
      </c>
      <c r="C6619" t="s">
        <v>350</v>
      </c>
      <c r="D6619" t="s">
        <v>1163</v>
      </c>
      <c r="E6619" s="1">
        <v>3.4099999999999998E-2</v>
      </c>
      <c r="F6619" s="1">
        <v>1.2500000000000001E-2</v>
      </c>
      <c r="G6619" s="1">
        <v>8.9800000000000005E-2</v>
      </c>
      <c r="H6619">
        <v>8</v>
      </c>
      <c r="I6619">
        <v>81</v>
      </c>
      <c r="J6619">
        <v>1973</v>
      </c>
    </row>
    <row r="6620" spans="1:10" x14ac:dyDescent="0.25">
      <c r="A6620" t="s">
        <v>201</v>
      </c>
      <c r="B6620" t="s">
        <v>203</v>
      </c>
      <c r="C6620" t="s">
        <v>350</v>
      </c>
      <c r="D6620" t="s">
        <v>1164</v>
      </c>
      <c r="E6620" s="1">
        <v>4.3200000000000002E-2</v>
      </c>
      <c r="F6620" s="1">
        <v>0.15640000000000001</v>
      </c>
      <c r="G6620" s="1">
        <v>1.2999999999999999E-2</v>
      </c>
      <c r="H6620">
        <v>8</v>
      </c>
      <c r="I6620">
        <v>81</v>
      </c>
      <c r="J6620">
        <v>1973</v>
      </c>
    </row>
    <row r="6621" spans="1:10" x14ac:dyDescent="0.25">
      <c r="A6621" t="s">
        <v>201</v>
      </c>
      <c r="B6621" t="s">
        <v>203</v>
      </c>
      <c r="C6621" t="s">
        <v>350</v>
      </c>
      <c r="D6621" t="s">
        <v>1165</v>
      </c>
      <c r="E6621" s="1">
        <v>1.03E-2</v>
      </c>
      <c r="F6621" s="1">
        <v>7.0199999999999999E-2</v>
      </c>
      <c r="G6621" s="1">
        <v>8.3299999999999999E-2</v>
      </c>
      <c r="H6621">
        <v>8</v>
      </c>
      <c r="I6621">
        <v>81</v>
      </c>
      <c r="J6621">
        <v>1973</v>
      </c>
    </row>
    <row r="6622" spans="1:10" x14ac:dyDescent="0.25">
      <c r="A6622" t="s">
        <v>201</v>
      </c>
      <c r="B6622" t="s">
        <v>203</v>
      </c>
      <c r="C6622" t="s">
        <v>350</v>
      </c>
      <c r="D6622" t="s">
        <v>1177</v>
      </c>
      <c r="E6622" s="1">
        <v>6.8999999999999999E-3</v>
      </c>
      <c r="F6622" s="1">
        <v>1.2500000000000001E-2</v>
      </c>
      <c r="G6622" s="1">
        <v>5.79E-2</v>
      </c>
      <c r="H6622">
        <v>8</v>
      </c>
      <c r="I6622">
        <v>81</v>
      </c>
      <c r="J6622">
        <v>1973</v>
      </c>
    </row>
    <row r="6623" spans="1:10" x14ac:dyDescent="0.25">
      <c r="A6623" t="s">
        <v>201</v>
      </c>
      <c r="B6623" t="s">
        <v>203</v>
      </c>
      <c r="C6623" t="s">
        <v>350</v>
      </c>
      <c r="D6623" t="s">
        <v>1178</v>
      </c>
      <c r="E6623" s="1">
        <v>3.3999999999999998E-3</v>
      </c>
      <c r="F6623" s="1">
        <v>8.3999999999999995E-3</v>
      </c>
      <c r="G6623" s="1">
        <v>5.79E-2</v>
      </c>
      <c r="H6623">
        <v>8</v>
      </c>
      <c r="I6623">
        <v>81</v>
      </c>
      <c r="J6623">
        <v>1973</v>
      </c>
    </row>
    <row r="6624" spans="1:10" x14ac:dyDescent="0.25">
      <c r="A6624" t="s">
        <v>201</v>
      </c>
      <c r="B6624" t="s">
        <v>203</v>
      </c>
      <c r="C6624" t="s">
        <v>350</v>
      </c>
      <c r="D6624" t="s">
        <v>1166</v>
      </c>
      <c r="E6624" s="1">
        <v>2.0299999999999999E-2</v>
      </c>
      <c r="F6624" s="1">
        <v>2.47E-2</v>
      </c>
      <c r="G6624" s="1">
        <v>7.6799999999999993E-2</v>
      </c>
      <c r="H6624">
        <v>8</v>
      </c>
      <c r="I6624">
        <v>81</v>
      </c>
      <c r="J6624">
        <v>1973</v>
      </c>
    </row>
    <row r="6625" spans="1:10" x14ac:dyDescent="0.25">
      <c r="A6625" t="s">
        <v>201</v>
      </c>
      <c r="B6625" t="s">
        <v>203</v>
      </c>
      <c r="C6625" t="s">
        <v>350</v>
      </c>
      <c r="D6625" t="s">
        <v>1168</v>
      </c>
      <c r="E6625" s="1">
        <v>2.0299999999999999E-2</v>
      </c>
      <c r="F6625" s="1">
        <v>0.1469</v>
      </c>
      <c r="G6625" s="1">
        <v>0.19189999999999999</v>
      </c>
      <c r="H6625">
        <v>8</v>
      </c>
      <c r="I6625">
        <v>81</v>
      </c>
      <c r="J6625">
        <v>1973</v>
      </c>
    </row>
    <row r="6626" spans="1:10" x14ac:dyDescent="0.25">
      <c r="A6626" t="s">
        <v>201</v>
      </c>
      <c r="B6626" t="s">
        <v>203</v>
      </c>
      <c r="C6626" t="s">
        <v>350</v>
      </c>
      <c r="D6626" t="s">
        <v>1170</v>
      </c>
      <c r="E6626" s="1">
        <v>2.0299999999999999E-2</v>
      </c>
      <c r="F6626" s="1">
        <v>2.47E-2</v>
      </c>
      <c r="H6626">
        <v>8</v>
      </c>
      <c r="I6626">
        <v>81</v>
      </c>
      <c r="J6626">
        <v>1973</v>
      </c>
    </row>
    <row r="6627" spans="1:10" x14ac:dyDescent="0.25">
      <c r="A6627" t="s">
        <v>201</v>
      </c>
      <c r="B6627" t="s">
        <v>203</v>
      </c>
      <c r="C6627" t="s">
        <v>350</v>
      </c>
      <c r="D6627" t="s">
        <v>1171</v>
      </c>
      <c r="E6627" s="1">
        <v>6.8999999999999999E-3</v>
      </c>
      <c r="F6627" s="1">
        <v>2.47E-2</v>
      </c>
      <c r="H6627">
        <v>8</v>
      </c>
      <c r="I6627">
        <v>81</v>
      </c>
      <c r="J6627">
        <v>1973</v>
      </c>
    </row>
    <row r="6628" spans="1:10" x14ac:dyDescent="0.25">
      <c r="A6628" t="s">
        <v>201</v>
      </c>
      <c r="B6628" t="s">
        <v>203</v>
      </c>
      <c r="C6628" t="s">
        <v>350</v>
      </c>
      <c r="D6628" t="s">
        <v>1172</v>
      </c>
      <c r="E6628" s="1">
        <v>0.43070000000000003</v>
      </c>
      <c r="F6628" s="1">
        <v>0.1769</v>
      </c>
      <c r="G6628" s="1">
        <v>6.4999999999999997E-3</v>
      </c>
      <c r="H6628">
        <v>8</v>
      </c>
      <c r="I6628">
        <v>81</v>
      </c>
      <c r="J6628">
        <v>1973</v>
      </c>
    </row>
    <row r="6629" spans="1:10" x14ac:dyDescent="0.25">
      <c r="A6629" t="s">
        <v>201</v>
      </c>
      <c r="B6629" t="s">
        <v>203</v>
      </c>
      <c r="C6629" t="s">
        <v>350</v>
      </c>
      <c r="D6629" t="s">
        <v>1173</v>
      </c>
      <c r="E6629" s="1">
        <v>0.25750000000000001</v>
      </c>
      <c r="F6629" s="1">
        <v>8.6599999999999996E-2</v>
      </c>
      <c r="G6629" s="1">
        <v>8.3299999999999999E-2</v>
      </c>
      <c r="H6629">
        <v>8</v>
      </c>
      <c r="I6629">
        <v>81</v>
      </c>
      <c r="J6629">
        <v>1973</v>
      </c>
    </row>
    <row r="6630" spans="1:10" x14ac:dyDescent="0.25">
      <c r="A6630" t="s">
        <v>201</v>
      </c>
      <c r="B6630" t="s">
        <v>203</v>
      </c>
      <c r="C6630" t="s">
        <v>350</v>
      </c>
      <c r="D6630" t="s">
        <v>235</v>
      </c>
      <c r="E6630" s="1">
        <v>2.0299999999999999E-2</v>
      </c>
      <c r="F6630" s="1">
        <v>4.1999999999999997E-3</v>
      </c>
      <c r="H6630">
        <v>8</v>
      </c>
      <c r="I6630">
        <v>81</v>
      </c>
      <c r="J6630">
        <v>1973</v>
      </c>
    </row>
    <row r="6631" spans="1:10" x14ac:dyDescent="0.25">
      <c r="A6631" t="s">
        <v>202</v>
      </c>
      <c r="B6631" t="s">
        <v>203</v>
      </c>
      <c r="C6631" t="s">
        <v>348</v>
      </c>
      <c r="D6631" t="s">
        <v>220</v>
      </c>
      <c r="E6631" s="1">
        <v>4.8000000000000001E-2</v>
      </c>
      <c r="F6631" s="1">
        <v>0.2026</v>
      </c>
      <c r="G6631" s="1">
        <v>6.9599999999999995E-2</v>
      </c>
      <c r="H6631">
        <v>72</v>
      </c>
      <c r="I6631">
        <v>50</v>
      </c>
      <c r="J6631">
        <v>1973</v>
      </c>
    </row>
    <row r="6632" spans="1:10" x14ac:dyDescent="0.25">
      <c r="A6632" t="s">
        <v>202</v>
      </c>
      <c r="B6632" t="s">
        <v>203</v>
      </c>
      <c r="C6632" t="s">
        <v>348</v>
      </c>
      <c r="D6632" t="s">
        <v>1175</v>
      </c>
      <c r="E6632" s="1">
        <v>2.1499999999999998E-2</v>
      </c>
      <c r="F6632" s="1">
        <v>5.3800000000000001E-2</v>
      </c>
      <c r="G6632" s="1">
        <v>0.17949999999999999</v>
      </c>
      <c r="H6632">
        <v>72</v>
      </c>
      <c r="I6632">
        <v>50</v>
      </c>
      <c r="J6632">
        <v>1973</v>
      </c>
    </row>
    <row r="6633" spans="1:10" x14ac:dyDescent="0.25">
      <c r="A6633" t="s">
        <v>202</v>
      </c>
      <c r="B6633" t="s">
        <v>203</v>
      </c>
      <c r="C6633" t="s">
        <v>348</v>
      </c>
      <c r="D6633" t="s">
        <v>1164</v>
      </c>
      <c r="E6633" s="1">
        <v>6.1600000000000002E-2</v>
      </c>
      <c r="F6633" s="1">
        <v>0.1152</v>
      </c>
      <c r="G6633" s="1">
        <v>2.47E-2</v>
      </c>
      <c r="H6633">
        <v>72</v>
      </c>
      <c r="I6633">
        <v>50</v>
      </c>
      <c r="J6633">
        <v>1973</v>
      </c>
    </row>
    <row r="6634" spans="1:10" x14ac:dyDescent="0.25">
      <c r="A6634" t="s">
        <v>202</v>
      </c>
      <c r="B6634" t="s">
        <v>203</v>
      </c>
      <c r="C6634" t="s">
        <v>348</v>
      </c>
      <c r="D6634" t="s">
        <v>1165</v>
      </c>
      <c r="E6634" s="1">
        <v>6.7999999999999996E-3</v>
      </c>
      <c r="F6634" s="1">
        <v>3.6400000000000002E-2</v>
      </c>
      <c r="H6634">
        <v>72</v>
      </c>
      <c r="I6634">
        <v>50</v>
      </c>
      <c r="J6634">
        <v>1973</v>
      </c>
    </row>
    <row r="6635" spans="1:10" x14ac:dyDescent="0.25">
      <c r="A6635" t="s">
        <v>202</v>
      </c>
      <c r="B6635" t="s">
        <v>203</v>
      </c>
      <c r="C6635" t="s">
        <v>348</v>
      </c>
      <c r="D6635" t="s">
        <v>1179</v>
      </c>
      <c r="E6635" s="1">
        <v>1.0800000000000001E-2</v>
      </c>
      <c r="F6635" s="1">
        <v>4.4200000000000003E-2</v>
      </c>
      <c r="H6635">
        <v>72</v>
      </c>
      <c r="I6635">
        <v>50</v>
      </c>
      <c r="J6635">
        <v>1973</v>
      </c>
    </row>
    <row r="6636" spans="1:10" x14ac:dyDescent="0.25">
      <c r="A6636" t="s">
        <v>202</v>
      </c>
      <c r="B6636" t="s">
        <v>203</v>
      </c>
      <c r="C6636" t="s">
        <v>348</v>
      </c>
      <c r="D6636" t="s">
        <v>1166</v>
      </c>
      <c r="E6636" s="1">
        <v>3.8399999999999997E-2</v>
      </c>
      <c r="F6636" s="1">
        <v>0.1018</v>
      </c>
      <c r="G6636" s="1">
        <v>2.47E-2</v>
      </c>
      <c r="H6636">
        <v>72</v>
      </c>
      <c r="I6636">
        <v>50</v>
      </c>
      <c r="J6636">
        <v>1973</v>
      </c>
    </row>
    <row r="6637" spans="1:10" x14ac:dyDescent="0.25">
      <c r="A6637" t="s">
        <v>202</v>
      </c>
      <c r="B6637" t="s">
        <v>203</v>
      </c>
      <c r="C6637" t="s">
        <v>348</v>
      </c>
      <c r="D6637" t="s">
        <v>1168</v>
      </c>
      <c r="E6637" s="1">
        <v>0.13400000000000001</v>
      </c>
      <c r="F6637" s="1">
        <v>0.1116</v>
      </c>
      <c r="G6637" s="1">
        <v>0.18360000000000001</v>
      </c>
      <c r="H6637">
        <v>72</v>
      </c>
      <c r="I6637">
        <v>50</v>
      </c>
      <c r="J6637">
        <v>1973</v>
      </c>
    </row>
    <row r="6638" spans="1:10" x14ac:dyDescent="0.25">
      <c r="A6638" t="s">
        <v>202</v>
      </c>
      <c r="B6638" t="s">
        <v>203</v>
      </c>
      <c r="C6638" t="s">
        <v>348</v>
      </c>
      <c r="D6638" t="s">
        <v>1172</v>
      </c>
      <c r="E6638" s="1">
        <v>0.24010000000000001</v>
      </c>
      <c r="F6638" s="1">
        <v>0.1363</v>
      </c>
      <c r="G6638" s="1">
        <v>1.8599999999999998E-2</v>
      </c>
      <c r="H6638">
        <v>72</v>
      </c>
      <c r="I6638">
        <v>50</v>
      </c>
      <c r="J6638">
        <v>1973</v>
      </c>
    </row>
    <row r="6639" spans="1:10" x14ac:dyDescent="0.25">
      <c r="A6639" t="s">
        <v>202</v>
      </c>
      <c r="B6639" t="s">
        <v>203</v>
      </c>
      <c r="C6639" t="s">
        <v>348</v>
      </c>
      <c r="D6639" t="s">
        <v>1173</v>
      </c>
      <c r="E6639" s="1">
        <v>0.43880000000000002</v>
      </c>
      <c r="H6639">
        <v>72</v>
      </c>
      <c r="I6639">
        <v>50</v>
      </c>
      <c r="J6639">
        <v>1973</v>
      </c>
    </row>
    <row r="6640" spans="1:10" x14ac:dyDescent="0.25">
      <c r="A6640" t="s">
        <v>204</v>
      </c>
      <c r="B6640" t="s">
        <v>204</v>
      </c>
      <c r="C6640" t="s">
        <v>204</v>
      </c>
      <c r="D6640" t="s">
        <v>1174</v>
      </c>
      <c r="E6640" s="1">
        <v>4.5999999999999999E-3</v>
      </c>
      <c r="F6640" s="1">
        <v>1.5800000000000002E-2</v>
      </c>
      <c r="G6640" s="1">
        <v>2.5700000000000001E-2</v>
      </c>
      <c r="H6640">
        <v>1973</v>
      </c>
      <c r="I6640">
        <v>1973</v>
      </c>
      <c r="J6640">
        <v>1973</v>
      </c>
    </row>
    <row r="6641" spans="1:10" x14ac:dyDescent="0.25">
      <c r="A6641" t="s">
        <v>204</v>
      </c>
      <c r="B6641" t="s">
        <v>204</v>
      </c>
      <c r="C6641" t="s">
        <v>204</v>
      </c>
      <c r="D6641" t="s">
        <v>220</v>
      </c>
      <c r="E6641" s="1">
        <v>7.0000000000000001E-3</v>
      </c>
      <c r="F6641" s="1">
        <v>4.2700000000000002E-2</v>
      </c>
      <c r="G6641" s="1">
        <v>7.0499999999999993E-2</v>
      </c>
      <c r="H6641">
        <v>1973</v>
      </c>
      <c r="I6641">
        <v>1973</v>
      </c>
      <c r="J6641">
        <v>1973</v>
      </c>
    </row>
    <row r="6642" spans="1:10" x14ac:dyDescent="0.25">
      <c r="A6642" t="s">
        <v>204</v>
      </c>
      <c r="B6642" t="s">
        <v>204</v>
      </c>
      <c r="C6642" t="s">
        <v>204</v>
      </c>
      <c r="D6642" t="s">
        <v>1175</v>
      </c>
      <c r="E6642" s="1">
        <v>1.4E-2</v>
      </c>
      <c r="F6642" s="1">
        <v>7.5800000000000006E-2</v>
      </c>
      <c r="G6642" s="1">
        <v>0.1046</v>
      </c>
      <c r="H6642">
        <v>1973</v>
      </c>
      <c r="I6642">
        <v>1973</v>
      </c>
      <c r="J6642">
        <v>1973</v>
      </c>
    </row>
    <row r="6643" spans="1:10" x14ac:dyDescent="0.25">
      <c r="A6643" t="s">
        <v>204</v>
      </c>
      <c r="B6643" t="s">
        <v>204</v>
      </c>
      <c r="C6643" t="s">
        <v>204</v>
      </c>
      <c r="D6643" t="s">
        <v>1176</v>
      </c>
      <c r="E6643" s="1">
        <v>4.7999999999999996E-3</v>
      </c>
      <c r="F6643" s="1">
        <v>2.4500000000000001E-2</v>
      </c>
      <c r="G6643" s="1">
        <v>2.0899999999999998E-2</v>
      </c>
      <c r="H6643">
        <v>1973</v>
      </c>
      <c r="I6643">
        <v>1973</v>
      </c>
      <c r="J6643">
        <v>1973</v>
      </c>
    </row>
    <row r="6644" spans="1:10" x14ac:dyDescent="0.25">
      <c r="A6644" t="s">
        <v>204</v>
      </c>
      <c r="B6644" t="s">
        <v>204</v>
      </c>
      <c r="C6644" t="s">
        <v>204</v>
      </c>
      <c r="D6644" t="s">
        <v>1163</v>
      </c>
      <c r="E6644" s="1">
        <v>4.3499999999999997E-2</v>
      </c>
      <c r="F6644" s="1">
        <v>4.41E-2</v>
      </c>
      <c r="G6644" s="1">
        <v>4.8599999999999997E-2</v>
      </c>
      <c r="H6644">
        <v>1973</v>
      </c>
      <c r="I6644">
        <v>1973</v>
      </c>
      <c r="J6644">
        <v>1973</v>
      </c>
    </row>
    <row r="6645" spans="1:10" x14ac:dyDescent="0.25">
      <c r="A6645" t="s">
        <v>204</v>
      </c>
      <c r="B6645" t="s">
        <v>204</v>
      </c>
      <c r="C6645" t="s">
        <v>204</v>
      </c>
      <c r="D6645" t="s">
        <v>1181</v>
      </c>
      <c r="E6645" s="1">
        <v>4.0000000000000002E-4</v>
      </c>
      <c r="F6645" s="1">
        <v>2.3999999999999998E-3</v>
      </c>
      <c r="G6645" s="1">
        <v>1.12E-2</v>
      </c>
      <c r="H6645">
        <v>1973</v>
      </c>
      <c r="I6645">
        <v>1973</v>
      </c>
      <c r="J6645">
        <v>1973</v>
      </c>
    </row>
    <row r="6646" spans="1:10" x14ac:dyDescent="0.25">
      <c r="A6646" t="s">
        <v>204</v>
      </c>
      <c r="B6646" t="s">
        <v>204</v>
      </c>
      <c r="C6646" t="s">
        <v>204</v>
      </c>
      <c r="D6646" t="s">
        <v>1164</v>
      </c>
      <c r="E6646" s="1">
        <v>4.4999999999999998E-2</v>
      </c>
      <c r="F6646" s="1">
        <v>9.2399999999999996E-2</v>
      </c>
      <c r="G6646" s="1">
        <v>0.14000000000000001</v>
      </c>
      <c r="H6646">
        <v>1973</v>
      </c>
      <c r="I6646">
        <v>1973</v>
      </c>
      <c r="J6646">
        <v>1973</v>
      </c>
    </row>
    <row r="6647" spans="1:10" x14ac:dyDescent="0.25">
      <c r="A6647" t="s">
        <v>204</v>
      </c>
      <c r="B6647" t="s">
        <v>204</v>
      </c>
      <c r="C6647" t="s">
        <v>204</v>
      </c>
      <c r="D6647" t="s">
        <v>1182</v>
      </c>
      <c r="E6647" s="1">
        <v>2.0000000000000001E-4</v>
      </c>
      <c r="F6647" s="1">
        <v>3.3999999999999998E-3</v>
      </c>
      <c r="G6647" s="1">
        <v>1.11E-2</v>
      </c>
      <c r="H6647">
        <v>1973</v>
      </c>
      <c r="I6647">
        <v>1973</v>
      </c>
      <c r="J6647">
        <v>1973</v>
      </c>
    </row>
    <row r="6648" spans="1:10" x14ac:dyDescent="0.25">
      <c r="A6648" t="s">
        <v>204</v>
      </c>
      <c r="B6648" t="s">
        <v>204</v>
      </c>
      <c r="C6648" t="s">
        <v>204</v>
      </c>
      <c r="D6648" t="s">
        <v>1165</v>
      </c>
      <c r="E6648" s="1">
        <v>3.2500000000000001E-2</v>
      </c>
      <c r="F6648" s="1">
        <v>8.6499999999999994E-2</v>
      </c>
      <c r="G6648" s="1">
        <v>7.2099999999999997E-2</v>
      </c>
      <c r="H6648">
        <v>1973</v>
      </c>
      <c r="I6648">
        <v>1973</v>
      </c>
      <c r="J6648">
        <v>1973</v>
      </c>
    </row>
    <row r="6649" spans="1:10" x14ac:dyDescent="0.25">
      <c r="A6649" t="s">
        <v>204</v>
      </c>
      <c r="B6649" t="s">
        <v>204</v>
      </c>
      <c r="C6649" t="s">
        <v>204</v>
      </c>
      <c r="D6649" t="s">
        <v>1177</v>
      </c>
      <c r="E6649" s="1">
        <v>6.1999999999999998E-3</v>
      </c>
      <c r="F6649" s="1">
        <v>1.3100000000000001E-2</v>
      </c>
      <c r="G6649" s="1">
        <v>1.2699999999999999E-2</v>
      </c>
      <c r="H6649">
        <v>1973</v>
      </c>
      <c r="I6649">
        <v>1973</v>
      </c>
      <c r="J6649">
        <v>1973</v>
      </c>
    </row>
    <row r="6650" spans="1:10" x14ac:dyDescent="0.25">
      <c r="A6650" t="s">
        <v>204</v>
      </c>
      <c r="B6650" t="s">
        <v>204</v>
      </c>
      <c r="C6650" t="s">
        <v>204</v>
      </c>
      <c r="D6650" t="s">
        <v>1178</v>
      </c>
      <c r="E6650" s="1">
        <v>2.3E-3</v>
      </c>
      <c r="F6650" s="1">
        <v>8.5000000000000006E-3</v>
      </c>
      <c r="G6650" s="1">
        <v>5.7000000000000002E-3</v>
      </c>
      <c r="H6650">
        <v>1973</v>
      </c>
      <c r="I6650">
        <v>1973</v>
      </c>
      <c r="J6650">
        <v>1973</v>
      </c>
    </row>
    <row r="6651" spans="1:10" x14ac:dyDescent="0.25">
      <c r="A6651" t="s">
        <v>204</v>
      </c>
      <c r="B6651" t="s">
        <v>204</v>
      </c>
      <c r="C6651" t="s">
        <v>204</v>
      </c>
      <c r="D6651" t="s">
        <v>1179</v>
      </c>
      <c r="E6651" s="1">
        <v>7.7999999999999996E-3</v>
      </c>
      <c r="F6651" s="1">
        <v>2.23E-2</v>
      </c>
      <c r="G6651" s="1">
        <v>1.44E-2</v>
      </c>
      <c r="H6651">
        <v>1973</v>
      </c>
      <c r="I6651">
        <v>1973</v>
      </c>
      <c r="J6651">
        <v>1973</v>
      </c>
    </row>
    <row r="6652" spans="1:10" x14ac:dyDescent="0.25">
      <c r="A6652" t="s">
        <v>204</v>
      </c>
      <c r="B6652" t="s">
        <v>204</v>
      </c>
      <c r="C6652" t="s">
        <v>204</v>
      </c>
      <c r="D6652" t="s">
        <v>1166</v>
      </c>
      <c r="E6652" s="1">
        <v>2.4400000000000002E-2</v>
      </c>
      <c r="F6652" s="1">
        <v>0.1143</v>
      </c>
      <c r="G6652" s="1">
        <v>0.1176</v>
      </c>
      <c r="H6652">
        <v>1973</v>
      </c>
      <c r="I6652">
        <v>1973</v>
      </c>
      <c r="J6652">
        <v>1973</v>
      </c>
    </row>
    <row r="6653" spans="1:10" x14ac:dyDescent="0.25">
      <c r="A6653" t="s">
        <v>204</v>
      </c>
      <c r="B6653" t="s">
        <v>204</v>
      </c>
      <c r="C6653" t="s">
        <v>204</v>
      </c>
      <c r="D6653" t="s">
        <v>1167</v>
      </c>
      <c r="E6653" s="1">
        <v>2.3E-3</v>
      </c>
      <c r="F6653" s="1">
        <v>5.1000000000000004E-3</v>
      </c>
      <c r="G6653" s="1">
        <v>2.41E-2</v>
      </c>
      <c r="H6653">
        <v>1973</v>
      </c>
      <c r="I6653">
        <v>1973</v>
      </c>
      <c r="J6653">
        <v>1973</v>
      </c>
    </row>
    <row r="6654" spans="1:10" x14ac:dyDescent="0.25">
      <c r="A6654" t="s">
        <v>204</v>
      </c>
      <c r="B6654" t="s">
        <v>204</v>
      </c>
      <c r="C6654" t="s">
        <v>204</v>
      </c>
      <c r="D6654" t="s">
        <v>1168</v>
      </c>
      <c r="E6654" s="1">
        <v>2.41E-2</v>
      </c>
      <c r="F6654" s="1">
        <v>6.3899999999999998E-2</v>
      </c>
      <c r="G6654" s="1">
        <v>8.6599999999999996E-2</v>
      </c>
      <c r="H6654">
        <v>1973</v>
      </c>
      <c r="I6654">
        <v>1973</v>
      </c>
      <c r="J6654">
        <v>1973</v>
      </c>
    </row>
    <row r="6655" spans="1:10" x14ac:dyDescent="0.25">
      <c r="A6655" t="s">
        <v>204</v>
      </c>
      <c r="B6655" t="s">
        <v>204</v>
      </c>
      <c r="C6655" t="s">
        <v>204</v>
      </c>
      <c r="D6655" t="s">
        <v>1169</v>
      </c>
      <c r="E6655" s="1">
        <v>3.3E-3</v>
      </c>
      <c r="F6655" s="1">
        <v>4.7000000000000002E-3</v>
      </c>
      <c r="G6655" s="1">
        <v>1.4E-2</v>
      </c>
      <c r="H6655">
        <v>1973</v>
      </c>
      <c r="I6655">
        <v>1973</v>
      </c>
      <c r="J6655">
        <v>1973</v>
      </c>
    </row>
    <row r="6656" spans="1:10" x14ac:dyDescent="0.25">
      <c r="A6656" t="s">
        <v>204</v>
      </c>
      <c r="B6656" t="s">
        <v>204</v>
      </c>
      <c r="C6656" t="s">
        <v>204</v>
      </c>
      <c r="D6656" t="s">
        <v>1170</v>
      </c>
      <c r="E6656" s="1">
        <v>4.0000000000000001E-3</v>
      </c>
      <c r="F6656" s="1">
        <v>1.5800000000000002E-2</v>
      </c>
      <c r="G6656" s="1">
        <v>2.18E-2</v>
      </c>
      <c r="H6656">
        <v>1973</v>
      </c>
      <c r="I6656">
        <v>1973</v>
      </c>
      <c r="J6656">
        <v>1973</v>
      </c>
    </row>
    <row r="6657" spans="1:30" x14ac:dyDescent="0.25">
      <c r="A6657" t="s">
        <v>204</v>
      </c>
      <c r="B6657" t="s">
        <v>204</v>
      </c>
      <c r="C6657" t="s">
        <v>204</v>
      </c>
      <c r="D6657" t="s">
        <v>1171</v>
      </c>
      <c r="E6657" s="1">
        <v>1.1999999999999999E-3</v>
      </c>
      <c r="F6657" s="1">
        <v>2.0000000000000001E-4</v>
      </c>
      <c r="G6657" s="1">
        <v>7.4999999999999997E-3</v>
      </c>
      <c r="H6657">
        <v>1973</v>
      </c>
      <c r="I6657">
        <v>1973</v>
      </c>
      <c r="J6657">
        <v>1973</v>
      </c>
    </row>
    <row r="6658" spans="1:30" x14ac:dyDescent="0.25">
      <c r="A6658" t="s">
        <v>204</v>
      </c>
      <c r="B6658" t="s">
        <v>204</v>
      </c>
      <c r="C6658" t="s">
        <v>204</v>
      </c>
      <c r="D6658" t="s">
        <v>1180</v>
      </c>
      <c r="E6658" s="1">
        <v>5.4000000000000003E-3</v>
      </c>
      <c r="F6658" s="1">
        <v>0.01</v>
      </c>
      <c r="G6658" s="1">
        <v>4.24E-2</v>
      </c>
      <c r="H6658">
        <v>1973</v>
      </c>
      <c r="I6658">
        <v>1973</v>
      </c>
      <c r="J6658">
        <v>1973</v>
      </c>
    </row>
    <row r="6659" spans="1:30" x14ac:dyDescent="0.25">
      <c r="A6659" t="s">
        <v>204</v>
      </c>
      <c r="B6659" t="s">
        <v>204</v>
      </c>
      <c r="C6659" t="s">
        <v>204</v>
      </c>
      <c r="D6659" t="s">
        <v>1172</v>
      </c>
      <c r="E6659" s="1">
        <v>0.3674</v>
      </c>
      <c r="F6659" s="1">
        <v>0.22389999999999999</v>
      </c>
      <c r="G6659" s="1">
        <v>7.8100000000000003E-2</v>
      </c>
      <c r="H6659">
        <v>1973</v>
      </c>
      <c r="I6659">
        <v>1973</v>
      </c>
      <c r="J6659">
        <v>1973</v>
      </c>
    </row>
    <row r="6660" spans="1:30" x14ac:dyDescent="0.25">
      <c r="A6660" t="s">
        <v>204</v>
      </c>
      <c r="B6660" t="s">
        <v>204</v>
      </c>
      <c r="C6660" t="s">
        <v>204</v>
      </c>
      <c r="D6660" t="s">
        <v>1173</v>
      </c>
      <c r="E6660" s="1">
        <v>0.39389999999999997</v>
      </c>
      <c r="F6660" s="1">
        <v>0.10879999999999999</v>
      </c>
      <c r="G6660" s="1">
        <v>3.49E-2</v>
      </c>
      <c r="H6660">
        <v>1973</v>
      </c>
      <c r="I6660">
        <v>1973</v>
      </c>
      <c r="J6660">
        <v>1973</v>
      </c>
    </row>
    <row r="6661" spans="1:30" x14ac:dyDescent="0.25">
      <c r="A6661" t="s">
        <v>204</v>
      </c>
      <c r="B6661" t="s">
        <v>204</v>
      </c>
      <c r="C6661" t="s">
        <v>204</v>
      </c>
      <c r="D6661" t="s">
        <v>235</v>
      </c>
      <c r="E6661" s="1">
        <v>6.9999999999999999E-4</v>
      </c>
      <c r="F6661" s="1">
        <v>9.4000000000000004E-3</v>
      </c>
      <c r="G6661" s="1">
        <v>1.35E-2</v>
      </c>
      <c r="H6661">
        <v>1973</v>
      </c>
      <c r="I6661">
        <v>1973</v>
      </c>
      <c r="J6661">
        <v>1973</v>
      </c>
    </row>
    <row r="6662" spans="1:30" x14ac:dyDescent="0.25">
      <c r="A6662" t="s">
        <v>204</v>
      </c>
      <c r="B6662" t="s">
        <v>204</v>
      </c>
      <c r="C6662" t="s">
        <v>204</v>
      </c>
      <c r="D6662" t="s">
        <v>215</v>
      </c>
      <c r="E6662" s="1">
        <v>5.0000000000000001E-3</v>
      </c>
      <c r="F6662" s="1">
        <v>0</v>
      </c>
      <c r="G6662" s="1">
        <v>1.4E-3</v>
      </c>
      <c r="H6662">
        <v>1973</v>
      </c>
      <c r="I6662">
        <v>1973</v>
      </c>
      <c r="J6662">
        <v>1973</v>
      </c>
    </row>
    <row r="6663" spans="1:30" x14ac:dyDescent="0.25">
      <c r="A6663" t="s">
        <v>204</v>
      </c>
      <c r="B6663" t="s">
        <v>204</v>
      </c>
      <c r="C6663" t="s">
        <v>204</v>
      </c>
      <c r="D6663" t="s">
        <v>1183</v>
      </c>
      <c r="E6663" s="1">
        <v>1E-4</v>
      </c>
      <c r="F6663" s="1">
        <v>1.2200000000000001E-2</v>
      </c>
      <c r="G6663" s="1">
        <v>2.0500000000000001E-2</v>
      </c>
      <c r="H6663">
        <v>1973</v>
      </c>
      <c r="I6663">
        <v>1973</v>
      </c>
      <c r="J6663">
        <v>1973</v>
      </c>
    </row>
    <row r="6665" spans="1:30" x14ac:dyDescent="0.25">
      <c r="A6665" t="s">
        <v>1186</v>
      </c>
    </row>
    <row r="6666" spans="1:30" x14ac:dyDescent="0.25">
      <c r="A6666" t="s">
        <v>190</v>
      </c>
      <c r="B6666" t="s">
        <v>195</v>
      </c>
      <c r="C6666" t="s">
        <v>189</v>
      </c>
      <c r="D6666" t="s">
        <v>196</v>
      </c>
      <c r="E6666" t="s">
        <v>1187</v>
      </c>
      <c r="F6666" t="s">
        <v>1188</v>
      </c>
      <c r="G6666" t="s">
        <v>1189</v>
      </c>
      <c r="H6666" t="s">
        <v>1190</v>
      </c>
      <c r="I6666" t="s">
        <v>1191</v>
      </c>
      <c r="J6666" t="s">
        <v>1192</v>
      </c>
      <c r="K6666" t="s">
        <v>1193</v>
      </c>
      <c r="L6666" t="s">
        <v>1194</v>
      </c>
      <c r="M6666" t="s">
        <v>1195</v>
      </c>
      <c r="N6666" t="s">
        <v>1196</v>
      </c>
      <c r="O6666" t="s">
        <v>1197</v>
      </c>
      <c r="P6666" t="s">
        <v>1198</v>
      </c>
      <c r="Q6666" t="s">
        <v>1199</v>
      </c>
      <c r="R6666" t="s">
        <v>271</v>
      </c>
      <c r="S6666" t="s">
        <v>1200</v>
      </c>
      <c r="T6666" t="s">
        <v>1201</v>
      </c>
      <c r="U6666" t="s">
        <v>235</v>
      </c>
      <c r="V6666" t="s">
        <v>1202</v>
      </c>
      <c r="W6666" t="s">
        <v>1203</v>
      </c>
      <c r="X6666" t="s">
        <v>1204</v>
      </c>
      <c r="Y6666" t="s">
        <v>1205</v>
      </c>
      <c r="Z6666" t="s">
        <v>1206</v>
      </c>
      <c r="AA6666" t="s">
        <v>1207</v>
      </c>
      <c r="AB6666" t="s">
        <v>1208</v>
      </c>
      <c r="AC6666" t="s">
        <v>1209</v>
      </c>
      <c r="AD6666" t="s">
        <v>1210</v>
      </c>
    </row>
    <row r="6667" spans="1:30" x14ac:dyDescent="0.25">
      <c r="A6667" t="s">
        <v>198</v>
      </c>
      <c r="B6667">
        <v>73</v>
      </c>
      <c r="C6667" t="s">
        <v>197</v>
      </c>
      <c r="D6667">
        <v>1926</v>
      </c>
      <c r="E6667" s="1">
        <v>8.3999999999999995E-3</v>
      </c>
      <c r="F6667" s="1">
        <v>0.1003</v>
      </c>
      <c r="G6667" s="1">
        <v>0.73309999999999997</v>
      </c>
      <c r="H6667" s="1">
        <v>2.3900000000000001E-2</v>
      </c>
      <c r="I6667" s="1">
        <v>0.26290000000000002</v>
      </c>
      <c r="J6667" s="1">
        <v>0.1668</v>
      </c>
      <c r="K6667" s="1">
        <v>3.5799999999999998E-2</v>
      </c>
      <c r="L6667" s="1">
        <v>7.6999999999999999E-2</v>
      </c>
      <c r="M6667" s="1">
        <v>0.495</v>
      </c>
      <c r="N6667" s="1">
        <v>0.33150000000000002</v>
      </c>
      <c r="O6667" s="1">
        <v>6.3200000000000006E-2</v>
      </c>
      <c r="P6667" s="1">
        <v>0.16170000000000001</v>
      </c>
      <c r="Q6667" s="1">
        <v>0.12770000000000001</v>
      </c>
      <c r="R6667" s="1">
        <v>3.1800000000000002E-2</v>
      </c>
      <c r="T6667" s="1">
        <v>5.3100000000000001E-2</v>
      </c>
      <c r="V6667" s="1">
        <v>0.2351</v>
      </c>
      <c r="W6667" s="1">
        <v>0.27089999999999997</v>
      </c>
      <c r="X6667" s="1">
        <v>5.96E-2</v>
      </c>
      <c r="Y6667" s="1">
        <v>8.3999999999999995E-3</v>
      </c>
      <c r="Z6667" s="1">
        <v>0.26690000000000003</v>
      </c>
      <c r="AA6667" s="1">
        <v>5.4300000000000001E-2</v>
      </c>
      <c r="AB6667" s="1">
        <v>8.3999999999999995E-3</v>
      </c>
      <c r="AC6667" s="1">
        <v>3.3599999999999998E-2</v>
      </c>
    </row>
    <row r="6668" spans="1:30" x14ac:dyDescent="0.25">
      <c r="A6668" t="s">
        <v>198</v>
      </c>
      <c r="B6668">
        <v>295</v>
      </c>
      <c r="C6668" t="s">
        <v>199</v>
      </c>
      <c r="D6668">
        <v>1926</v>
      </c>
      <c r="E6668" s="1">
        <v>1.6500000000000001E-2</v>
      </c>
      <c r="F6668" s="1">
        <v>0.04</v>
      </c>
      <c r="G6668" s="1">
        <v>0.74580000000000002</v>
      </c>
      <c r="H6668" s="1">
        <v>9.4000000000000004E-3</v>
      </c>
      <c r="I6668" s="1">
        <v>6.7400000000000002E-2</v>
      </c>
      <c r="J6668" s="1">
        <v>0.1051</v>
      </c>
      <c r="K6668" s="1">
        <v>1.9199999999999998E-2</v>
      </c>
      <c r="L6668" s="1">
        <v>7.6399999999999996E-2</v>
      </c>
      <c r="M6668" s="1">
        <v>0.3679</v>
      </c>
      <c r="N6668" s="1">
        <v>0.2767</v>
      </c>
      <c r="O6668" s="1">
        <v>2.1299999999999999E-2</v>
      </c>
      <c r="P6668" s="1">
        <v>0.19059999999999999</v>
      </c>
      <c r="Q6668" s="1">
        <v>8.7900000000000006E-2</v>
      </c>
      <c r="R6668" s="1">
        <v>8.4000000000000005E-2</v>
      </c>
      <c r="S6668" s="1">
        <v>3.6600000000000001E-2</v>
      </c>
      <c r="T6668" s="1">
        <v>1.43E-2</v>
      </c>
      <c r="U6668" s="1">
        <v>4.3E-3</v>
      </c>
      <c r="V6668" s="1">
        <v>0.1333</v>
      </c>
      <c r="W6668" s="1">
        <v>0.2452</v>
      </c>
      <c r="X6668" s="1">
        <v>1.03E-2</v>
      </c>
      <c r="Y6668" s="1">
        <v>5.9999999999999995E-4</v>
      </c>
      <c r="Z6668" s="1">
        <v>0.26379999999999998</v>
      </c>
      <c r="AA6668" s="1">
        <v>3.39E-2</v>
      </c>
      <c r="AB6668" s="1">
        <v>1.9E-3</v>
      </c>
      <c r="AC6668" s="1">
        <v>1.23E-2</v>
      </c>
      <c r="AD6668" s="1">
        <v>1.6899999999999998E-2</v>
      </c>
    </row>
    <row r="6669" spans="1:30" x14ac:dyDescent="0.25">
      <c r="A6669" t="s">
        <v>198</v>
      </c>
      <c r="B6669">
        <v>278</v>
      </c>
      <c r="C6669" t="s">
        <v>200</v>
      </c>
      <c r="D6669">
        <v>1926</v>
      </c>
      <c r="E6669" s="1">
        <v>3.95E-2</v>
      </c>
      <c r="F6669" s="1">
        <v>5.16E-2</v>
      </c>
      <c r="G6669" s="1">
        <v>0.56420000000000003</v>
      </c>
      <c r="H6669" s="1">
        <v>2E-3</v>
      </c>
      <c r="I6669" s="1">
        <v>8.7900000000000006E-2</v>
      </c>
      <c r="J6669" s="1">
        <v>0.15670000000000001</v>
      </c>
      <c r="K6669" s="1">
        <v>4.4600000000000001E-2</v>
      </c>
      <c r="L6669" s="1">
        <v>5.7599999999999998E-2</v>
      </c>
      <c r="M6669" s="1">
        <v>0.33889999999999998</v>
      </c>
      <c r="N6669" s="1">
        <v>0.30780000000000002</v>
      </c>
      <c r="O6669" s="1">
        <v>3.5299999999999998E-2</v>
      </c>
      <c r="P6669" s="1">
        <v>9.0899999999999995E-2</v>
      </c>
      <c r="Q6669" s="1">
        <v>0.1173</v>
      </c>
      <c r="R6669" s="1">
        <v>9.2200000000000004E-2</v>
      </c>
      <c r="S6669" s="1">
        <v>3.49E-2</v>
      </c>
      <c r="T6669" s="1">
        <v>3.8300000000000001E-2</v>
      </c>
      <c r="U6669" s="1">
        <v>4.4000000000000003E-3</v>
      </c>
      <c r="V6669" s="1">
        <v>0.13120000000000001</v>
      </c>
      <c r="W6669" s="1">
        <v>0.1779</v>
      </c>
      <c r="X6669" s="1">
        <v>8.7300000000000003E-2</v>
      </c>
      <c r="Y6669" s="1">
        <v>6.6E-3</v>
      </c>
      <c r="Z6669" s="1">
        <v>0.1555</v>
      </c>
      <c r="AA6669" s="1">
        <v>4.1599999999999998E-2</v>
      </c>
      <c r="AB6669" s="1">
        <v>2.01E-2</v>
      </c>
      <c r="AC6669" s="1">
        <v>2.76E-2</v>
      </c>
      <c r="AD6669" s="1">
        <v>4.0000000000000001E-3</v>
      </c>
    </row>
    <row r="6670" spans="1:30" x14ac:dyDescent="0.25">
      <c r="A6670" t="s">
        <v>198</v>
      </c>
      <c r="B6670">
        <v>197</v>
      </c>
      <c r="C6670" t="s">
        <v>201</v>
      </c>
      <c r="D6670">
        <v>1926</v>
      </c>
      <c r="E6670" s="1">
        <v>3.2199999999999999E-2</v>
      </c>
      <c r="F6670" s="1">
        <v>7.9500000000000001E-2</v>
      </c>
      <c r="G6670" s="1">
        <v>0.59370000000000001</v>
      </c>
      <c r="H6670" s="1">
        <v>1.2999999999999999E-2</v>
      </c>
      <c r="I6670" s="1">
        <v>0.13450000000000001</v>
      </c>
      <c r="J6670" s="1">
        <v>0.12939999999999999</v>
      </c>
      <c r="K6670" s="1">
        <v>4.9700000000000001E-2</v>
      </c>
      <c r="L6670" s="1">
        <v>0.16300000000000001</v>
      </c>
      <c r="M6670" s="1">
        <v>0.34329999999999999</v>
      </c>
      <c r="N6670" s="1">
        <v>0.23780000000000001</v>
      </c>
      <c r="O6670" s="1">
        <v>3.95E-2</v>
      </c>
      <c r="P6670" s="1">
        <v>0.1163</v>
      </c>
      <c r="Q6670" s="1">
        <v>0.12889999999999999</v>
      </c>
      <c r="R6670" s="1">
        <v>5.45E-2</v>
      </c>
      <c r="S6670" s="1">
        <v>2.86E-2</v>
      </c>
      <c r="T6670" s="1">
        <v>3.4299999999999997E-2</v>
      </c>
      <c r="U6670" s="1">
        <v>1.9E-2</v>
      </c>
      <c r="V6670" s="1">
        <v>0.1946</v>
      </c>
      <c r="W6670" s="1">
        <v>0.2238</v>
      </c>
      <c r="X6670" s="1">
        <v>6.2300000000000001E-2</v>
      </c>
      <c r="Y6670" s="1">
        <v>1.9599999999999999E-2</v>
      </c>
      <c r="Z6670" s="1">
        <v>0.1983</v>
      </c>
      <c r="AA6670" s="1">
        <v>5.7000000000000002E-2</v>
      </c>
      <c r="AB6670" s="1">
        <v>1.17E-2</v>
      </c>
      <c r="AC6670" s="1">
        <v>3.5799999999999998E-2</v>
      </c>
      <c r="AD6670" s="1">
        <v>2.1399999999999999E-2</v>
      </c>
    </row>
    <row r="6671" spans="1:30" x14ac:dyDescent="0.25">
      <c r="A6671" t="s">
        <v>198</v>
      </c>
      <c r="B6671">
        <v>78</v>
      </c>
      <c r="C6671" t="s">
        <v>202</v>
      </c>
      <c r="D6671">
        <v>1926</v>
      </c>
      <c r="E6671" s="1">
        <v>1.38E-2</v>
      </c>
      <c r="F6671" s="1">
        <v>4.87E-2</v>
      </c>
      <c r="G6671" s="1">
        <v>0.68169999999999997</v>
      </c>
      <c r="I6671" s="1">
        <v>0.1094</v>
      </c>
      <c r="J6671" s="1">
        <v>0.1497</v>
      </c>
      <c r="K6671" s="1">
        <v>3.6900000000000002E-2</v>
      </c>
      <c r="L6671" s="1">
        <v>0.15709999999999999</v>
      </c>
      <c r="M6671" s="1">
        <v>0.45650000000000002</v>
      </c>
      <c r="N6671" s="1">
        <v>0.40389999999999998</v>
      </c>
      <c r="O6671" s="1">
        <v>1.7100000000000001E-2</v>
      </c>
      <c r="P6671" s="1">
        <v>0.1983</v>
      </c>
      <c r="Q6671" s="1">
        <v>0.11409999999999999</v>
      </c>
      <c r="R6671" s="1">
        <v>0.04</v>
      </c>
      <c r="S6671" s="1">
        <v>0.1091</v>
      </c>
      <c r="V6671" s="1">
        <v>0.1454</v>
      </c>
      <c r="W6671" s="1">
        <v>0.1182</v>
      </c>
      <c r="X6671" s="1">
        <v>3.5700000000000003E-2</v>
      </c>
      <c r="Y6671" s="1">
        <v>1.38E-2</v>
      </c>
      <c r="Z6671" s="1">
        <v>0.23089999999999999</v>
      </c>
      <c r="AA6671" s="1">
        <v>3.9699999999999999E-2</v>
      </c>
      <c r="AC6671" s="1">
        <v>6.2300000000000001E-2</v>
      </c>
    </row>
    <row r="6672" spans="1:30" x14ac:dyDescent="0.25">
      <c r="A6672" t="s">
        <v>203</v>
      </c>
      <c r="B6672">
        <v>407</v>
      </c>
      <c r="C6672" t="s">
        <v>199</v>
      </c>
      <c r="D6672">
        <v>1926</v>
      </c>
      <c r="E6672" s="1">
        <v>2.9899999999999999E-2</v>
      </c>
      <c r="F6672" s="1">
        <v>4.1200000000000001E-2</v>
      </c>
      <c r="G6672" s="1">
        <v>0.53039999999999998</v>
      </c>
      <c r="H6672" s="1">
        <v>4.1000000000000003E-3</v>
      </c>
      <c r="I6672" s="1">
        <v>8.4699999999999998E-2</v>
      </c>
      <c r="J6672" s="1">
        <v>4.9000000000000002E-2</v>
      </c>
      <c r="K6672" s="1">
        <v>3.8800000000000001E-2</v>
      </c>
      <c r="L6672" s="1">
        <v>6.7100000000000007E-2</v>
      </c>
      <c r="M6672" s="1">
        <v>0.27539999999999998</v>
      </c>
      <c r="N6672" s="1">
        <v>0.19350000000000001</v>
      </c>
      <c r="O6672" s="1">
        <v>7.0000000000000001E-3</v>
      </c>
      <c r="P6672" s="1">
        <v>0.1172</v>
      </c>
      <c r="Q6672" s="1">
        <v>3.8E-3</v>
      </c>
      <c r="R6672" s="1">
        <v>0.27310000000000001</v>
      </c>
      <c r="S6672" s="1">
        <v>1.15E-2</v>
      </c>
      <c r="T6672" s="1">
        <v>1.9E-3</v>
      </c>
      <c r="U6672" s="1">
        <v>3.8E-3</v>
      </c>
      <c r="V6672" s="1">
        <v>5.21E-2</v>
      </c>
      <c r="W6672" s="1">
        <v>0.1125</v>
      </c>
      <c r="X6672" s="1">
        <v>6.3899999999999998E-2</v>
      </c>
      <c r="Y6672" s="1">
        <v>8.0000000000000004E-4</v>
      </c>
      <c r="Z6672" s="1">
        <v>3.7699999999999997E-2</v>
      </c>
      <c r="AA6672" s="1">
        <v>3.56E-2</v>
      </c>
      <c r="AB6672" s="1">
        <v>2.58E-2</v>
      </c>
      <c r="AC6672" s="1">
        <v>3.9600000000000003E-2</v>
      </c>
      <c r="AD6672" s="1">
        <v>9.9000000000000008E-3</v>
      </c>
    </row>
    <row r="6673" spans="1:31" x14ac:dyDescent="0.25">
      <c r="A6673" t="s">
        <v>203</v>
      </c>
      <c r="B6673">
        <v>310</v>
      </c>
      <c r="C6673" t="s">
        <v>200</v>
      </c>
      <c r="D6673">
        <v>1926</v>
      </c>
      <c r="E6673" s="1">
        <v>5.7000000000000002E-2</v>
      </c>
      <c r="F6673" s="1">
        <v>1.7899999999999999E-2</v>
      </c>
      <c r="G6673" s="1">
        <v>0.24890000000000001</v>
      </c>
      <c r="H6673" s="1">
        <v>1.5E-3</v>
      </c>
      <c r="I6673" s="1">
        <v>1.95E-2</v>
      </c>
      <c r="J6673" s="1">
        <v>1.24E-2</v>
      </c>
      <c r="K6673" s="1">
        <v>1.5599999999999999E-2</v>
      </c>
      <c r="L6673" s="1">
        <v>1.7600000000000001E-2</v>
      </c>
      <c r="M6673" s="1">
        <v>0.1699</v>
      </c>
      <c r="N6673" s="1">
        <v>0.2054</v>
      </c>
      <c r="O6673" s="1">
        <v>1.0800000000000001E-2</v>
      </c>
      <c r="P6673" s="1">
        <v>4.6100000000000002E-2</v>
      </c>
      <c r="R6673" s="1">
        <v>0.44590000000000002</v>
      </c>
      <c r="S6673" s="1">
        <v>3.4200000000000001E-2</v>
      </c>
      <c r="U6673" s="1">
        <v>2E-3</v>
      </c>
      <c r="V6673" s="1">
        <v>3.27E-2</v>
      </c>
      <c r="W6673" s="1">
        <v>8.0500000000000002E-2</v>
      </c>
      <c r="X6673" s="1">
        <v>4.5100000000000001E-2</v>
      </c>
      <c r="Y6673" s="1">
        <v>3.0999999999999999E-3</v>
      </c>
      <c r="Z6673" s="1">
        <v>4.1399999999999999E-2</v>
      </c>
      <c r="AA6673" s="1">
        <v>4.1399999999999999E-2</v>
      </c>
      <c r="AB6673" s="1">
        <v>2.8500000000000001E-2</v>
      </c>
      <c r="AC6673" s="1">
        <v>8.9999999999999993E-3</v>
      </c>
      <c r="AD6673" s="1">
        <v>6.9999999999999999E-4</v>
      </c>
    </row>
    <row r="6674" spans="1:31" x14ac:dyDescent="0.25">
      <c r="A6674" t="s">
        <v>203</v>
      </c>
      <c r="B6674">
        <v>241</v>
      </c>
      <c r="C6674" t="s">
        <v>201</v>
      </c>
      <c r="D6674">
        <v>1926</v>
      </c>
      <c r="E6674" s="1">
        <v>7.9799999999999996E-2</v>
      </c>
      <c r="F6674" s="1">
        <v>0.1134</v>
      </c>
      <c r="G6674" s="1">
        <v>0.61309999999999998</v>
      </c>
      <c r="H6674" s="1">
        <v>2.7199999999999998E-2</v>
      </c>
      <c r="I6674" s="1">
        <v>8.5300000000000001E-2</v>
      </c>
      <c r="J6674" s="1">
        <v>1.6400000000000001E-2</v>
      </c>
      <c r="K6674" s="1">
        <v>6.0499999999999998E-2</v>
      </c>
      <c r="L6674" s="1">
        <v>7.7799999999999994E-2</v>
      </c>
      <c r="M6674" s="1">
        <v>0.31950000000000001</v>
      </c>
      <c r="N6674" s="1">
        <v>0.34100000000000003</v>
      </c>
      <c r="O6674" s="1">
        <v>2.1600000000000001E-2</v>
      </c>
      <c r="P6674" s="1">
        <v>0.1386</v>
      </c>
      <c r="Q6674" s="1">
        <v>1.2E-2</v>
      </c>
      <c r="R6674" s="1">
        <v>0.1389</v>
      </c>
      <c r="S6674" s="1">
        <v>1.9E-2</v>
      </c>
      <c r="U6674" s="1">
        <v>8.9999999999999998E-4</v>
      </c>
      <c r="V6674" s="1">
        <v>9.3799999999999994E-2</v>
      </c>
      <c r="W6674" s="1">
        <v>0.20880000000000001</v>
      </c>
      <c r="X6674" s="1">
        <v>0.1113</v>
      </c>
      <c r="Y6674" s="1">
        <v>2.69E-2</v>
      </c>
      <c r="Z6674" s="1">
        <v>1.9900000000000001E-2</v>
      </c>
      <c r="AA6674" s="1">
        <v>3.2000000000000001E-2</v>
      </c>
      <c r="AB6674" s="1">
        <v>2.3E-3</v>
      </c>
      <c r="AC6674" s="1">
        <v>0.2535</v>
      </c>
      <c r="AD6674" s="1">
        <v>4.4200000000000003E-2</v>
      </c>
    </row>
    <row r="6675" spans="1:31" x14ac:dyDescent="0.25">
      <c r="A6675" t="s">
        <v>203</v>
      </c>
      <c r="B6675">
        <v>47</v>
      </c>
      <c r="C6675" t="s">
        <v>202</v>
      </c>
      <c r="D6675">
        <v>1926</v>
      </c>
      <c r="E6675" s="1">
        <v>1.66E-2</v>
      </c>
      <c r="F6675" s="1">
        <v>3.6200000000000003E-2</v>
      </c>
      <c r="G6675" s="1">
        <v>0.253</v>
      </c>
      <c r="H6675" s="1">
        <v>9.4999999999999998E-3</v>
      </c>
      <c r="I6675" s="1">
        <v>5.21E-2</v>
      </c>
      <c r="L6675" s="1">
        <v>1.66E-2</v>
      </c>
      <c r="M6675" s="1">
        <v>4.7500000000000001E-2</v>
      </c>
      <c r="N6675" s="1">
        <v>0.15509999999999999</v>
      </c>
      <c r="O6675" s="1">
        <v>9.4999999999999998E-3</v>
      </c>
      <c r="P6675" s="1">
        <v>7.5600000000000001E-2</v>
      </c>
      <c r="R6675" s="1">
        <v>0.48409999999999997</v>
      </c>
      <c r="S6675" s="1">
        <v>5.6099999999999997E-2</v>
      </c>
      <c r="V6675" s="1">
        <v>8.3000000000000004E-2</v>
      </c>
      <c r="W6675" s="1">
        <v>7.1000000000000004E-3</v>
      </c>
      <c r="X6675" s="1">
        <v>0.1027</v>
      </c>
      <c r="Y6675" s="1">
        <v>9.4999999999999998E-3</v>
      </c>
      <c r="AA6675" s="1">
        <v>1.9599999999999999E-2</v>
      </c>
    </row>
    <row r="6676" spans="1:31" x14ac:dyDescent="0.25">
      <c r="A6676" t="s">
        <v>204</v>
      </c>
      <c r="B6676">
        <v>1926</v>
      </c>
      <c r="C6676" t="s">
        <v>204</v>
      </c>
      <c r="D6676">
        <v>1926</v>
      </c>
      <c r="E6676" s="1">
        <v>3.4500000000000003E-2</v>
      </c>
      <c r="F6676" s="1">
        <v>4.7600000000000003E-2</v>
      </c>
      <c r="G6676" s="1">
        <v>0.52610000000000001</v>
      </c>
      <c r="H6676" s="1">
        <v>6.8999999999999999E-3</v>
      </c>
      <c r="I6676" s="1">
        <v>8.5099999999999995E-2</v>
      </c>
      <c r="J6676" s="1">
        <v>8.2600000000000007E-2</v>
      </c>
      <c r="K6676" s="1">
        <v>3.0800000000000001E-2</v>
      </c>
      <c r="L6676" s="1">
        <v>6.88E-2</v>
      </c>
      <c r="M6676" s="1">
        <v>0.30480000000000002</v>
      </c>
      <c r="N6676" s="1">
        <v>0.26390000000000002</v>
      </c>
      <c r="O6676" s="1">
        <v>2.1700000000000001E-2</v>
      </c>
      <c r="P6676" s="1">
        <v>0.11849999999999999</v>
      </c>
      <c r="Q6676" s="1">
        <v>5.7700000000000001E-2</v>
      </c>
      <c r="R6676" s="1">
        <v>0.2112</v>
      </c>
      <c r="S6676" s="1">
        <v>3.56E-2</v>
      </c>
      <c r="T6676" s="1">
        <v>1.34E-2</v>
      </c>
      <c r="U6676" s="1">
        <v>3.3E-3</v>
      </c>
      <c r="V6676" s="1">
        <v>0.1043</v>
      </c>
      <c r="W6676" s="1">
        <v>0.15240000000000001</v>
      </c>
      <c r="X6676" s="1">
        <v>5.4899999999999997E-2</v>
      </c>
      <c r="Y6676" s="1">
        <v>6.6E-3</v>
      </c>
      <c r="Z6676" s="1">
        <v>0.13109999999999999</v>
      </c>
      <c r="AA6676" s="1">
        <v>3.9800000000000002E-2</v>
      </c>
      <c r="AB6676" s="1">
        <v>1.54E-2</v>
      </c>
      <c r="AC6676" s="1">
        <v>3.7199999999999997E-2</v>
      </c>
      <c r="AD6676" s="1">
        <v>8.0000000000000002E-3</v>
      </c>
    </row>
    <row r="6678" spans="1:31" x14ac:dyDescent="0.25">
      <c r="A6678" t="s">
        <v>1211</v>
      </c>
    </row>
    <row r="6679" spans="1:31" x14ac:dyDescent="0.25">
      <c r="A6679" t="s">
        <v>190</v>
      </c>
      <c r="B6679" t="s">
        <v>206</v>
      </c>
      <c r="C6679" t="s">
        <v>195</v>
      </c>
      <c r="D6679" t="s">
        <v>189</v>
      </c>
      <c r="E6679" t="s">
        <v>196</v>
      </c>
      <c r="F6679" t="s">
        <v>1187</v>
      </c>
      <c r="G6679" t="s">
        <v>1188</v>
      </c>
      <c r="H6679" t="s">
        <v>1189</v>
      </c>
      <c r="I6679" t="s">
        <v>1190</v>
      </c>
      <c r="J6679" t="s">
        <v>1191</v>
      </c>
      <c r="K6679" t="s">
        <v>1192</v>
      </c>
      <c r="L6679" t="s">
        <v>1193</v>
      </c>
      <c r="M6679" t="s">
        <v>1194</v>
      </c>
      <c r="N6679" t="s">
        <v>1195</v>
      </c>
      <c r="O6679" t="s">
        <v>1196</v>
      </c>
      <c r="P6679" t="s">
        <v>1197</v>
      </c>
      <c r="Q6679" t="s">
        <v>1198</v>
      </c>
      <c r="R6679" t="s">
        <v>1199</v>
      </c>
      <c r="S6679" t="s">
        <v>271</v>
      </c>
      <c r="T6679" t="s">
        <v>1200</v>
      </c>
      <c r="U6679" t="s">
        <v>1201</v>
      </c>
      <c r="V6679" t="s">
        <v>235</v>
      </c>
      <c r="W6679" t="s">
        <v>1202</v>
      </c>
      <c r="X6679" t="s">
        <v>1203</v>
      </c>
      <c r="Y6679" t="s">
        <v>1204</v>
      </c>
      <c r="Z6679" t="s">
        <v>1205</v>
      </c>
      <c r="AA6679" t="s">
        <v>1206</v>
      </c>
      <c r="AB6679" t="s">
        <v>1207</v>
      </c>
      <c r="AC6679" t="s">
        <v>1208</v>
      </c>
      <c r="AD6679" t="s">
        <v>1209</v>
      </c>
      <c r="AE6679" t="s">
        <v>1210</v>
      </c>
    </row>
    <row r="6680" spans="1:31" s="29" customFormat="1" x14ac:dyDescent="0.25">
      <c r="A6680" s="29" t="s">
        <v>198</v>
      </c>
      <c r="B6680" s="29" t="s">
        <v>228</v>
      </c>
      <c r="C6680" s="29">
        <v>28</v>
      </c>
      <c r="D6680" s="29" t="s">
        <v>197</v>
      </c>
      <c r="E6680" s="29">
        <v>1926</v>
      </c>
      <c r="G6680" s="30">
        <v>0.12520000000000001</v>
      </c>
      <c r="H6680" s="30">
        <v>0.59540000000000004</v>
      </c>
      <c r="J6680" s="30">
        <v>0.1976</v>
      </c>
      <c r="K6680" s="30">
        <v>0.1285</v>
      </c>
      <c r="L6680" s="30">
        <v>2.9499999999999998E-2</v>
      </c>
      <c r="M6680" s="30">
        <v>8.6300000000000002E-2</v>
      </c>
      <c r="N6680" s="30">
        <v>0.43619999999999998</v>
      </c>
      <c r="O6680" s="30">
        <v>0.32279999999999998</v>
      </c>
      <c r="P6680" s="30">
        <v>0.02</v>
      </c>
      <c r="Q6680" s="30">
        <v>0.16800000000000001</v>
      </c>
      <c r="R6680" s="30">
        <v>5.5599999999999997E-2</v>
      </c>
      <c r="S6680" s="30">
        <v>5.5599999999999997E-2</v>
      </c>
      <c r="W6680" s="30">
        <v>0.13469999999999999</v>
      </c>
      <c r="X6680" s="30">
        <v>0.2271</v>
      </c>
      <c r="AA6680" s="30">
        <v>0.23039999999999999</v>
      </c>
      <c r="AD6680" s="30">
        <v>0.02</v>
      </c>
    </row>
    <row r="6681" spans="1:31" x14ac:dyDescent="0.25">
      <c r="A6681" t="s">
        <v>198</v>
      </c>
      <c r="B6681" t="s">
        <v>229</v>
      </c>
      <c r="C6681">
        <v>45</v>
      </c>
      <c r="D6681" t="s">
        <v>197</v>
      </c>
      <c r="E6681">
        <v>1926</v>
      </c>
      <c r="F6681" s="1">
        <v>1.4500000000000001E-2</v>
      </c>
      <c r="G6681" s="1">
        <v>8.2299999999999998E-2</v>
      </c>
      <c r="H6681" s="1">
        <v>0.83299999999999996</v>
      </c>
      <c r="I6681" s="1">
        <v>4.1200000000000001E-2</v>
      </c>
      <c r="J6681" s="1">
        <v>0.31030000000000002</v>
      </c>
      <c r="K6681" s="1">
        <v>0.1946</v>
      </c>
      <c r="L6681" s="1">
        <v>4.0300000000000002E-2</v>
      </c>
      <c r="M6681" s="1">
        <v>7.0199999999999999E-2</v>
      </c>
      <c r="N6681" s="1">
        <v>0.53749999999999998</v>
      </c>
      <c r="O6681" s="1">
        <v>0.33779999999999999</v>
      </c>
      <c r="P6681" s="1">
        <v>9.4500000000000001E-2</v>
      </c>
      <c r="Q6681" s="1">
        <v>0.157</v>
      </c>
      <c r="R6681" s="1">
        <v>0.18</v>
      </c>
      <c r="S6681" s="1">
        <v>1.4500000000000001E-2</v>
      </c>
      <c r="U6681" s="1">
        <v>9.1600000000000001E-2</v>
      </c>
      <c r="W6681" s="1">
        <v>0.30790000000000001</v>
      </c>
      <c r="X6681" s="1">
        <v>0.30259999999999998</v>
      </c>
      <c r="Y6681" s="1">
        <v>0.10290000000000001</v>
      </c>
      <c r="Z6681" s="1">
        <v>1.4500000000000001E-2</v>
      </c>
      <c r="AA6681" s="1">
        <v>0.29339999999999999</v>
      </c>
      <c r="AB6681" s="1">
        <v>9.3700000000000006E-2</v>
      </c>
      <c r="AC6681" s="1">
        <v>1.4500000000000001E-2</v>
      </c>
      <c r="AD6681" s="1">
        <v>4.3499999999999997E-2</v>
      </c>
    </row>
    <row r="6682" spans="1:31" x14ac:dyDescent="0.25">
      <c r="A6682" t="s">
        <v>198</v>
      </c>
      <c r="B6682" t="s">
        <v>228</v>
      </c>
      <c r="C6682">
        <v>122</v>
      </c>
      <c r="D6682" t="s">
        <v>199</v>
      </c>
      <c r="E6682">
        <v>1926</v>
      </c>
      <c r="F6682" s="1">
        <v>3.6400000000000002E-2</v>
      </c>
      <c r="G6682" s="1">
        <v>0.1104</v>
      </c>
      <c r="H6682" s="1">
        <v>0.63060000000000005</v>
      </c>
      <c r="I6682" s="1">
        <v>7.3000000000000001E-3</v>
      </c>
      <c r="J6682" s="1">
        <v>4.6699999999999998E-2</v>
      </c>
      <c r="K6682" s="1">
        <v>6.4799999999999996E-2</v>
      </c>
      <c r="L6682" s="1">
        <v>3.4299999999999997E-2</v>
      </c>
      <c r="M6682" s="1">
        <v>4.7800000000000002E-2</v>
      </c>
      <c r="N6682" s="1">
        <v>0.2974</v>
      </c>
      <c r="O6682" s="1">
        <v>0.2145</v>
      </c>
      <c r="P6682" s="1">
        <v>3.7100000000000001E-2</v>
      </c>
      <c r="Q6682" s="1">
        <v>0.13089999999999999</v>
      </c>
      <c r="R6682" s="1">
        <v>6.4399999999999999E-2</v>
      </c>
      <c r="S6682" s="1">
        <v>0.22270000000000001</v>
      </c>
      <c r="T6682" s="1">
        <v>6.0000000000000001E-3</v>
      </c>
      <c r="U6682" s="1">
        <v>3.7900000000000003E-2</v>
      </c>
      <c r="V6682" s="1">
        <v>1.52E-2</v>
      </c>
      <c r="W6682" s="1">
        <v>0.1163</v>
      </c>
      <c r="X6682" s="1">
        <v>0.16259999999999999</v>
      </c>
      <c r="Y6682" s="1">
        <v>1.3899999999999999E-2</v>
      </c>
      <c r="Z6682" s="1">
        <v>2.3E-3</v>
      </c>
      <c r="AA6682" s="1">
        <v>0.1318</v>
      </c>
      <c r="AB6682" s="1">
        <v>1.47E-2</v>
      </c>
      <c r="AC6682" s="1">
        <v>1.8E-3</v>
      </c>
      <c r="AD6682" s="1">
        <v>2.4400000000000002E-2</v>
      </c>
      <c r="AE6682" s="1">
        <v>3.5000000000000001E-3</v>
      </c>
    </row>
    <row r="6683" spans="1:31" x14ac:dyDescent="0.25">
      <c r="A6683" t="s">
        <v>198</v>
      </c>
      <c r="B6683" t="s">
        <v>229</v>
      </c>
      <c r="C6683">
        <v>164</v>
      </c>
      <c r="D6683" t="s">
        <v>199</v>
      </c>
      <c r="E6683">
        <v>1926</v>
      </c>
      <c r="F6683" s="1">
        <v>8.0999999999999996E-3</v>
      </c>
      <c r="G6683" s="1">
        <v>1.15E-2</v>
      </c>
      <c r="H6683" s="1">
        <v>0.79590000000000005</v>
      </c>
      <c r="I6683" s="1">
        <v>1.03E-2</v>
      </c>
      <c r="J6683" s="1">
        <v>7.3700000000000002E-2</v>
      </c>
      <c r="K6683" s="1">
        <v>0.1203</v>
      </c>
      <c r="L6683" s="1">
        <v>1.18E-2</v>
      </c>
      <c r="M6683" s="1">
        <v>8.4599999999999995E-2</v>
      </c>
      <c r="N6683" s="1">
        <v>0.39629999999999999</v>
      </c>
      <c r="O6683" s="1">
        <v>0.3029</v>
      </c>
      <c r="P6683" s="1">
        <v>1.46E-2</v>
      </c>
      <c r="Q6683" s="1">
        <v>0.2152</v>
      </c>
      <c r="R6683" s="1">
        <v>9.6199999999999994E-2</v>
      </c>
      <c r="S6683" s="1">
        <v>2.8299999999999999E-2</v>
      </c>
      <c r="T6683" s="1">
        <v>4.8800000000000003E-2</v>
      </c>
      <c r="U6683" s="1">
        <v>3.3999999999999998E-3</v>
      </c>
      <c r="W6683" s="1">
        <v>0.1381</v>
      </c>
      <c r="X6683" s="1">
        <v>0.27700000000000002</v>
      </c>
      <c r="Y6683" s="1">
        <v>8.8999999999999999E-3</v>
      </c>
      <c r="AA6683" s="1">
        <v>0.31859999999999999</v>
      </c>
      <c r="AB6683" s="1">
        <v>4.2000000000000003E-2</v>
      </c>
      <c r="AC6683" s="1">
        <v>2E-3</v>
      </c>
      <c r="AD6683" s="1">
        <v>7.6E-3</v>
      </c>
      <c r="AE6683" s="1">
        <v>2.2499999999999999E-2</v>
      </c>
    </row>
    <row r="6684" spans="1:31" x14ac:dyDescent="0.25">
      <c r="A6684" t="s">
        <v>198</v>
      </c>
      <c r="B6684" t="s">
        <v>229</v>
      </c>
      <c r="C6684">
        <v>188</v>
      </c>
      <c r="D6684" t="s">
        <v>200</v>
      </c>
      <c r="E6684">
        <v>1926</v>
      </c>
      <c r="F6684" s="1">
        <v>3.3799999999999997E-2</v>
      </c>
      <c r="G6684" s="1">
        <v>2.9000000000000001E-2</v>
      </c>
      <c r="H6684" s="1">
        <v>0.56589999999999996</v>
      </c>
      <c r="J6684" s="1">
        <v>0.1047</v>
      </c>
      <c r="K6684" s="1">
        <v>0.16489999999999999</v>
      </c>
      <c r="L6684" s="1">
        <v>5.6300000000000003E-2</v>
      </c>
      <c r="M6684" s="1">
        <v>6.8099999999999994E-2</v>
      </c>
      <c r="N6684" s="1">
        <v>0.34439999999999998</v>
      </c>
      <c r="O6684" s="1">
        <v>0.314</v>
      </c>
      <c r="P6684" s="1">
        <v>3.32E-2</v>
      </c>
      <c r="Q6684" s="1">
        <v>0.1021</v>
      </c>
      <c r="R6684" s="1">
        <v>0.1197</v>
      </c>
      <c r="S6684" s="1">
        <v>8.3900000000000002E-2</v>
      </c>
      <c r="T6684" s="1">
        <v>3.6200000000000003E-2</v>
      </c>
      <c r="U6684" s="1">
        <v>4.2500000000000003E-2</v>
      </c>
      <c r="V6684" s="1">
        <v>5.7999999999999996E-3</v>
      </c>
      <c r="W6684" s="1">
        <v>0.1176</v>
      </c>
      <c r="X6684" s="1">
        <v>0.1656</v>
      </c>
      <c r="Y6684" s="1">
        <v>0.1028</v>
      </c>
      <c r="Z6684" s="1">
        <v>1.1999999999999999E-3</v>
      </c>
      <c r="AA6684" s="1">
        <v>0.13350000000000001</v>
      </c>
      <c r="AB6684" s="1">
        <v>3.2099999999999997E-2</v>
      </c>
      <c r="AC6684" s="1">
        <v>2.6700000000000002E-2</v>
      </c>
      <c r="AD6684" s="1">
        <v>2.1100000000000001E-2</v>
      </c>
      <c r="AE6684" s="1">
        <v>5.3E-3</v>
      </c>
    </row>
    <row r="6685" spans="1:31" x14ac:dyDescent="0.25">
      <c r="A6685" t="s">
        <v>198</v>
      </c>
      <c r="B6685" t="s">
        <v>228</v>
      </c>
      <c r="C6685">
        <v>86</v>
      </c>
      <c r="D6685" t="s">
        <v>200</v>
      </c>
      <c r="E6685">
        <v>1926</v>
      </c>
      <c r="F6685" s="1">
        <v>5.9299999999999999E-2</v>
      </c>
      <c r="G6685" s="1">
        <v>0.1255</v>
      </c>
      <c r="H6685" s="1">
        <v>0.56820000000000004</v>
      </c>
      <c r="I6685" s="1">
        <v>8.3000000000000001E-3</v>
      </c>
      <c r="J6685" s="1">
        <v>3.7600000000000001E-2</v>
      </c>
      <c r="K6685" s="1">
        <v>0.1105</v>
      </c>
      <c r="L6685" s="1">
        <v>9.4000000000000004E-3</v>
      </c>
      <c r="M6685" s="1">
        <v>2.6800000000000001E-2</v>
      </c>
      <c r="N6685" s="1">
        <v>0.33500000000000002</v>
      </c>
      <c r="O6685" s="1">
        <v>0.26019999999999999</v>
      </c>
      <c r="P6685" s="1">
        <v>4.3400000000000001E-2</v>
      </c>
      <c r="Q6685" s="1">
        <v>5.9299999999999999E-2</v>
      </c>
      <c r="R6685" s="1">
        <v>0.1144</v>
      </c>
      <c r="S6685" s="1">
        <v>0.1222</v>
      </c>
      <c r="T6685" s="1">
        <v>3.2000000000000001E-2</v>
      </c>
      <c r="U6685" s="1">
        <v>2.6499999999999999E-2</v>
      </c>
      <c r="W6685" s="1">
        <v>0.17929999999999999</v>
      </c>
      <c r="X6685" s="1">
        <v>0.22409999999999999</v>
      </c>
      <c r="Y6685" s="1">
        <v>4.1700000000000001E-2</v>
      </c>
      <c r="Z6685" s="1">
        <v>2.4299999999999999E-2</v>
      </c>
      <c r="AA6685" s="1">
        <v>0.2319</v>
      </c>
      <c r="AB6685" s="1">
        <v>7.3400000000000007E-2</v>
      </c>
      <c r="AD6685" s="1">
        <v>4.9299999999999997E-2</v>
      </c>
    </row>
    <row r="6686" spans="1:31" x14ac:dyDescent="0.25">
      <c r="A6686" t="s">
        <v>198</v>
      </c>
      <c r="B6686" t="s">
        <v>228</v>
      </c>
      <c r="C6686">
        <v>65</v>
      </c>
      <c r="D6686" t="s">
        <v>201</v>
      </c>
      <c r="E6686">
        <v>1926</v>
      </c>
      <c r="F6686" s="1">
        <v>0.1022</v>
      </c>
      <c r="G6686" s="1">
        <v>0.20430000000000001</v>
      </c>
      <c r="H6686" s="1">
        <v>0.68230000000000002</v>
      </c>
      <c r="I6686" s="1">
        <v>3.4799999999999998E-2</v>
      </c>
      <c r="J6686" s="1">
        <v>0.26590000000000003</v>
      </c>
      <c r="K6686" s="1">
        <v>8.5999999999999993E-2</v>
      </c>
      <c r="L6686" s="1">
        <v>5.8500000000000003E-2</v>
      </c>
      <c r="M6686" s="1">
        <v>0.21199999999999999</v>
      </c>
      <c r="N6686" s="1">
        <v>0.5575</v>
      </c>
      <c r="O6686" s="1">
        <v>0.31569999999999998</v>
      </c>
      <c r="P6686" s="1">
        <v>3.4799999999999998E-2</v>
      </c>
      <c r="Q6686" s="1">
        <v>0.21440000000000001</v>
      </c>
      <c r="R6686" s="1">
        <v>0.1283</v>
      </c>
      <c r="S6686" s="1">
        <v>4.6899999999999997E-2</v>
      </c>
      <c r="T6686" s="1">
        <v>3.2899999999999999E-2</v>
      </c>
      <c r="V6686" s="1">
        <v>2.3E-3</v>
      </c>
      <c r="W6686" s="1">
        <v>0.38990000000000002</v>
      </c>
      <c r="X6686" s="1">
        <v>0.36830000000000002</v>
      </c>
      <c r="Y6686" s="1">
        <v>3.7100000000000001E-2</v>
      </c>
      <c r="Z6686" s="1">
        <v>3.0200000000000001E-2</v>
      </c>
      <c r="AA6686" s="1">
        <v>0.1792</v>
      </c>
      <c r="AB6686" s="1">
        <v>0.1026</v>
      </c>
      <c r="AD6686" s="1">
        <v>0.12379999999999999</v>
      </c>
      <c r="AE6686" s="1">
        <v>5.8700000000000002E-2</v>
      </c>
    </row>
    <row r="6687" spans="1:31" x14ac:dyDescent="0.25">
      <c r="A6687" t="s">
        <v>198</v>
      </c>
      <c r="B6687" t="s">
        <v>229</v>
      </c>
      <c r="C6687">
        <v>129</v>
      </c>
      <c r="D6687" t="s">
        <v>201</v>
      </c>
      <c r="E6687">
        <v>1926</v>
      </c>
      <c r="F6687" s="1">
        <v>1.77E-2</v>
      </c>
      <c r="G6687" s="1">
        <v>5.3999999999999999E-2</v>
      </c>
      <c r="H6687" s="1">
        <v>0.57169999999999999</v>
      </c>
      <c r="I6687" s="1">
        <v>8.6E-3</v>
      </c>
      <c r="J6687" s="1">
        <v>0.1075</v>
      </c>
      <c r="K6687" s="1">
        <v>0.1396</v>
      </c>
      <c r="L6687" s="1">
        <v>4.7800000000000002E-2</v>
      </c>
      <c r="M6687" s="1">
        <v>0.15359999999999999</v>
      </c>
      <c r="N6687" s="1">
        <v>0.29430000000000001</v>
      </c>
      <c r="O6687" s="1">
        <v>0.22339999999999999</v>
      </c>
      <c r="P6687" s="1">
        <v>4.0800000000000003E-2</v>
      </c>
      <c r="Q6687" s="1">
        <v>9.6699999999999994E-2</v>
      </c>
      <c r="R6687" s="1">
        <v>0.13020000000000001</v>
      </c>
      <c r="S6687" s="1">
        <v>5.6500000000000002E-2</v>
      </c>
      <c r="T6687" s="1">
        <v>2.8000000000000001E-2</v>
      </c>
      <c r="U6687" s="1">
        <v>4.1799999999999997E-2</v>
      </c>
      <c r="V6687" s="1">
        <v>2.2700000000000001E-2</v>
      </c>
      <c r="W6687" s="1">
        <v>0.14829999999999999</v>
      </c>
      <c r="X6687" s="1">
        <v>0.1948</v>
      </c>
      <c r="Y6687" s="1">
        <v>6.8099999999999994E-2</v>
      </c>
      <c r="Z6687" s="1">
        <v>1.7600000000000001E-2</v>
      </c>
      <c r="AA6687" s="1">
        <v>0.20399999999999999</v>
      </c>
      <c r="AB6687" s="1">
        <v>4.7899999999999998E-2</v>
      </c>
      <c r="AC6687" s="1">
        <v>1.43E-2</v>
      </c>
      <c r="AD6687" s="1">
        <v>1.7600000000000001E-2</v>
      </c>
      <c r="AE6687" s="1">
        <v>1.38E-2</v>
      </c>
    </row>
    <row r="6688" spans="1:31" s="29" customFormat="1" x14ac:dyDescent="0.25">
      <c r="A6688" s="29" t="s">
        <v>198</v>
      </c>
      <c r="B6688" s="29" t="s">
        <v>228</v>
      </c>
      <c r="C6688" s="29">
        <v>23</v>
      </c>
      <c r="D6688" s="29" t="s">
        <v>202</v>
      </c>
      <c r="E6688" s="29">
        <v>1926</v>
      </c>
      <c r="G6688" s="30">
        <v>0.1244</v>
      </c>
      <c r="H6688" s="30">
        <v>0.52649999999999997</v>
      </c>
      <c r="J6688" s="30">
        <v>9.4700000000000006E-2</v>
      </c>
      <c r="K6688" s="30">
        <v>0.2185</v>
      </c>
      <c r="L6688" s="30">
        <v>0.1096</v>
      </c>
      <c r="M6688" s="30">
        <v>9.4700000000000006E-2</v>
      </c>
      <c r="N6688" s="30">
        <v>0.65590000000000004</v>
      </c>
      <c r="O6688" s="30">
        <v>0.29859999999999998</v>
      </c>
      <c r="P6688" s="30">
        <v>1.49E-2</v>
      </c>
      <c r="Q6688" s="30">
        <v>0.19489999999999999</v>
      </c>
      <c r="R6688" s="30">
        <v>0.18940000000000001</v>
      </c>
      <c r="T6688" s="30">
        <v>6.1800000000000001E-2</v>
      </c>
      <c r="W6688" s="30">
        <v>7.0499999999999993E-2</v>
      </c>
      <c r="X6688" s="30">
        <v>0.1096</v>
      </c>
      <c r="Y6688" s="30">
        <v>8.9499999999999996E-2</v>
      </c>
      <c r="AA6688" s="30">
        <v>0.1472</v>
      </c>
      <c r="AB6688" s="30">
        <v>2.9700000000000001E-2</v>
      </c>
      <c r="AD6688" s="30">
        <v>9.4700000000000006E-2</v>
      </c>
    </row>
    <row r="6689" spans="1:31" x14ac:dyDescent="0.25">
      <c r="A6689" t="s">
        <v>198</v>
      </c>
      <c r="B6689" t="s">
        <v>229</v>
      </c>
      <c r="C6689">
        <v>55</v>
      </c>
      <c r="D6689" t="s">
        <v>202</v>
      </c>
      <c r="E6689">
        <v>1926</v>
      </c>
      <c r="F6689" s="1">
        <v>1.78E-2</v>
      </c>
      <c r="G6689" s="1">
        <v>2.7E-2</v>
      </c>
      <c r="H6689" s="1">
        <v>0.72619999999999996</v>
      </c>
      <c r="J6689" s="1">
        <v>0.1137</v>
      </c>
      <c r="K6689" s="1">
        <v>0.13</v>
      </c>
      <c r="L6689" s="1">
        <v>1.6E-2</v>
      </c>
      <c r="M6689" s="1">
        <v>0.17510000000000001</v>
      </c>
      <c r="N6689" s="1">
        <v>0.3992</v>
      </c>
      <c r="O6689" s="1">
        <v>0.43419999999999997</v>
      </c>
      <c r="P6689" s="1">
        <v>1.78E-2</v>
      </c>
      <c r="Q6689" s="1">
        <v>0.1993</v>
      </c>
      <c r="R6689" s="1">
        <v>9.2399999999999996E-2</v>
      </c>
      <c r="S6689" s="1">
        <v>5.1499999999999997E-2</v>
      </c>
      <c r="T6689" s="1">
        <v>0.1227</v>
      </c>
      <c r="W6689" s="1">
        <v>0.16689999999999999</v>
      </c>
      <c r="X6689" s="1">
        <v>0.1206</v>
      </c>
      <c r="Y6689" s="1">
        <v>2.0299999999999999E-2</v>
      </c>
      <c r="Z6689" s="1">
        <v>1.78E-2</v>
      </c>
      <c r="AA6689" s="1">
        <v>0.25490000000000002</v>
      </c>
      <c r="AB6689" s="1">
        <v>4.2500000000000003E-2</v>
      </c>
      <c r="AD6689" s="1">
        <v>5.2999999999999999E-2</v>
      </c>
    </row>
    <row r="6690" spans="1:31" x14ac:dyDescent="0.25">
      <c r="A6690" t="s">
        <v>203</v>
      </c>
      <c r="B6690" t="s">
        <v>229</v>
      </c>
      <c r="C6690">
        <v>286</v>
      </c>
      <c r="D6690" t="s">
        <v>199</v>
      </c>
      <c r="E6690">
        <v>1926</v>
      </c>
      <c r="F6690" s="1">
        <v>2.8799999999999999E-2</v>
      </c>
      <c r="G6690" s="1">
        <v>3.2899999999999999E-2</v>
      </c>
      <c r="H6690" s="1">
        <v>0.5323</v>
      </c>
      <c r="I6690" s="1">
        <v>4.0000000000000001E-3</v>
      </c>
      <c r="J6690" s="1">
        <v>7.4499999999999997E-2</v>
      </c>
      <c r="K6690" s="1">
        <v>3.8899999999999997E-2</v>
      </c>
      <c r="L6690" s="1">
        <v>3.5700000000000003E-2</v>
      </c>
      <c r="M6690" s="1">
        <v>7.1199999999999999E-2</v>
      </c>
      <c r="N6690" s="1">
        <v>0.28189999999999998</v>
      </c>
      <c r="O6690" s="1">
        <v>0.1704</v>
      </c>
      <c r="P6690" s="1">
        <v>7.6E-3</v>
      </c>
      <c r="Q6690" s="1">
        <v>0.12759999999999999</v>
      </c>
      <c r="R6690" s="1">
        <v>3.5000000000000001E-3</v>
      </c>
      <c r="S6690" s="1">
        <v>0.2848</v>
      </c>
      <c r="T6690" s="1">
        <v>1.23E-2</v>
      </c>
      <c r="U6690" s="1">
        <v>1.5E-3</v>
      </c>
      <c r="V6690" s="1">
        <v>4.1999999999999997E-3</v>
      </c>
      <c r="W6690" s="1">
        <v>5.3199999999999997E-2</v>
      </c>
      <c r="X6690" s="1">
        <v>0.1132</v>
      </c>
      <c r="Y6690" s="1">
        <v>5.96E-2</v>
      </c>
      <c r="Z6690" s="1">
        <v>6.9999999999999999E-4</v>
      </c>
      <c r="AA6690" s="1">
        <v>2.53E-2</v>
      </c>
      <c r="AB6690" s="1">
        <v>3.7900000000000003E-2</v>
      </c>
      <c r="AC6690" s="1">
        <v>2.81E-2</v>
      </c>
      <c r="AD6690" s="1">
        <v>2.5999999999999999E-2</v>
      </c>
      <c r="AE6690" s="1">
        <v>1.11E-2</v>
      </c>
    </row>
    <row r="6691" spans="1:31" x14ac:dyDescent="0.25">
      <c r="A6691" t="s">
        <v>203</v>
      </c>
      <c r="B6691" t="s">
        <v>228</v>
      </c>
      <c r="C6691">
        <v>113</v>
      </c>
      <c r="D6691" t="s">
        <v>199</v>
      </c>
      <c r="E6691">
        <v>1926</v>
      </c>
      <c r="F6691" s="1">
        <v>4.0899999999999999E-2</v>
      </c>
      <c r="G6691" s="1">
        <v>0.11459999999999999</v>
      </c>
      <c r="H6691" s="1">
        <v>0.51729999999999998</v>
      </c>
      <c r="I6691" s="1">
        <v>5.7000000000000002E-3</v>
      </c>
      <c r="J6691" s="1">
        <v>0.1696</v>
      </c>
      <c r="K6691" s="1">
        <v>0.1381</v>
      </c>
      <c r="L6691" s="1">
        <v>6.7500000000000004E-2</v>
      </c>
      <c r="M6691" s="1">
        <v>3.4200000000000001E-2</v>
      </c>
      <c r="N6691" s="1">
        <v>0.2303</v>
      </c>
      <c r="O6691" s="1">
        <v>0.39989999999999998</v>
      </c>
      <c r="P6691" s="1">
        <v>2.3999999999999998E-3</v>
      </c>
      <c r="Q6691" s="1">
        <v>3.2399999999999998E-2</v>
      </c>
      <c r="R6691" s="1">
        <v>6.7000000000000002E-3</v>
      </c>
      <c r="S6691" s="1">
        <v>0.1694</v>
      </c>
      <c r="T6691" s="1">
        <v>5.5999999999999999E-3</v>
      </c>
      <c r="U6691" s="1">
        <v>5.7000000000000002E-3</v>
      </c>
      <c r="W6691" s="1">
        <v>4.4200000000000003E-2</v>
      </c>
      <c r="X6691" s="1">
        <v>0.10440000000000001</v>
      </c>
      <c r="Y6691" s="1">
        <v>0.1031</v>
      </c>
      <c r="Z6691" s="1">
        <v>2.3999999999999998E-3</v>
      </c>
      <c r="AA6691" s="1">
        <v>0.14630000000000001</v>
      </c>
      <c r="AB6691" s="1">
        <v>1.7299999999999999E-2</v>
      </c>
      <c r="AC6691" s="1">
        <v>6.7000000000000002E-3</v>
      </c>
      <c r="AD6691" s="1">
        <v>0.15770000000000001</v>
      </c>
    </row>
    <row r="6692" spans="1:31" x14ac:dyDescent="0.25">
      <c r="A6692" t="s">
        <v>203</v>
      </c>
      <c r="B6692" t="s">
        <v>229</v>
      </c>
      <c r="C6692">
        <v>218</v>
      </c>
      <c r="D6692" t="s">
        <v>200</v>
      </c>
      <c r="E6692">
        <v>1926</v>
      </c>
      <c r="F6692" s="1">
        <v>6.54E-2</v>
      </c>
      <c r="G6692" s="1">
        <v>1.26E-2</v>
      </c>
      <c r="H6692" s="1">
        <v>0.2576</v>
      </c>
      <c r="J6692" s="1">
        <v>2.0799999999999999E-2</v>
      </c>
      <c r="K6692" s="1">
        <v>1.52E-2</v>
      </c>
      <c r="L6692" s="1">
        <v>5.0000000000000001E-4</v>
      </c>
      <c r="M6692" s="1">
        <v>0.02</v>
      </c>
      <c r="N6692" s="1">
        <v>0.17549999999999999</v>
      </c>
      <c r="O6692" s="1">
        <v>0.2049</v>
      </c>
      <c r="P6692" s="1">
        <v>8.0999999999999996E-3</v>
      </c>
      <c r="Q6692" s="1">
        <v>4.8099999999999997E-2</v>
      </c>
      <c r="S6692" s="1">
        <v>0.45650000000000002</v>
      </c>
      <c r="T6692" s="1">
        <v>4.0399999999999998E-2</v>
      </c>
      <c r="V6692" s="1">
        <v>1.4E-3</v>
      </c>
      <c r="W6692" s="1">
        <v>3.5499999999999997E-2</v>
      </c>
      <c r="X6692" s="1">
        <v>9.2899999999999996E-2</v>
      </c>
      <c r="Y6692" s="1">
        <v>4.9700000000000001E-2</v>
      </c>
      <c r="AA6692" s="1">
        <v>3.1899999999999998E-2</v>
      </c>
      <c r="AB6692" s="1">
        <v>3.6200000000000003E-2</v>
      </c>
      <c r="AC6692" s="1">
        <v>2.6700000000000002E-2</v>
      </c>
      <c r="AD6692" s="1">
        <v>8.6E-3</v>
      </c>
    </row>
    <row r="6693" spans="1:31" x14ac:dyDescent="0.25">
      <c r="A6693" t="s">
        <v>203</v>
      </c>
      <c r="B6693" t="s">
        <v>228</v>
      </c>
      <c r="C6693">
        <v>91</v>
      </c>
      <c r="D6693" t="s">
        <v>200</v>
      </c>
      <c r="E6693">
        <v>1926</v>
      </c>
      <c r="F6693" s="1">
        <v>2.18E-2</v>
      </c>
      <c r="G6693" s="1">
        <v>3.9800000000000002E-2</v>
      </c>
      <c r="H6693" s="1">
        <v>0.2132</v>
      </c>
      <c r="I6693" s="1">
        <v>7.6E-3</v>
      </c>
      <c r="J6693" s="1">
        <v>1.3899999999999999E-2</v>
      </c>
      <c r="K6693" s="1">
        <v>5.9999999999999995E-4</v>
      </c>
      <c r="L6693" s="1">
        <v>7.85E-2</v>
      </c>
      <c r="M6693" s="1">
        <v>7.6E-3</v>
      </c>
      <c r="N6693" s="1">
        <v>0.14680000000000001</v>
      </c>
      <c r="O6693" s="1">
        <v>0.20760000000000001</v>
      </c>
      <c r="P6693" s="1">
        <v>2.18E-2</v>
      </c>
      <c r="Q6693" s="1">
        <v>3.7900000000000003E-2</v>
      </c>
      <c r="S6693" s="1">
        <v>0.40110000000000001</v>
      </c>
      <c r="T6693" s="1">
        <v>8.3000000000000001E-3</v>
      </c>
      <c r="V6693" s="1">
        <v>4.4999999999999997E-3</v>
      </c>
      <c r="W6693" s="1">
        <v>2.1100000000000001E-2</v>
      </c>
      <c r="X6693" s="1">
        <v>2.9000000000000001E-2</v>
      </c>
      <c r="Y6693" s="1">
        <v>2.6200000000000001E-2</v>
      </c>
      <c r="Z6693" s="1">
        <v>1.5900000000000001E-2</v>
      </c>
      <c r="AA6693" s="1">
        <v>8.09E-2</v>
      </c>
      <c r="AB6693" s="1">
        <v>6.3200000000000006E-2</v>
      </c>
      <c r="AC6693" s="1">
        <v>3.5999999999999997E-2</v>
      </c>
      <c r="AD6693" s="1">
        <v>1.0800000000000001E-2</v>
      </c>
      <c r="AE6693" s="1">
        <v>3.8E-3</v>
      </c>
    </row>
    <row r="6694" spans="1:31" x14ac:dyDescent="0.25">
      <c r="A6694" t="s">
        <v>203</v>
      </c>
      <c r="B6694" t="s">
        <v>229</v>
      </c>
      <c r="C6694">
        <v>104</v>
      </c>
      <c r="D6694" t="s">
        <v>201</v>
      </c>
      <c r="E6694">
        <v>1926</v>
      </c>
      <c r="F6694" s="1">
        <v>8.2199999999999995E-2</v>
      </c>
      <c r="G6694" s="1">
        <v>7.4099999999999999E-2</v>
      </c>
      <c r="H6694" s="1">
        <v>0.60750000000000004</v>
      </c>
      <c r="I6694" s="1">
        <v>3.2099999999999997E-2</v>
      </c>
      <c r="J6694" s="1">
        <v>0.08</v>
      </c>
      <c r="K6694" s="1">
        <v>4.8999999999999998E-3</v>
      </c>
      <c r="L6694" s="1">
        <v>4.2299999999999997E-2</v>
      </c>
      <c r="M6694" s="1">
        <v>7.4499999999999997E-2</v>
      </c>
      <c r="N6694" s="1">
        <v>0.28789999999999999</v>
      </c>
      <c r="O6694" s="1">
        <v>0.35320000000000001</v>
      </c>
      <c r="P6694" s="1">
        <v>2.5999999999999999E-2</v>
      </c>
      <c r="Q6694" s="1">
        <v>0.14749999999999999</v>
      </c>
      <c r="R6694" s="1">
        <v>1.61E-2</v>
      </c>
      <c r="S6694" s="1">
        <v>0.1295</v>
      </c>
      <c r="T6694" s="1">
        <v>2.0400000000000001E-2</v>
      </c>
      <c r="W6694" s="1">
        <v>5.8400000000000001E-2</v>
      </c>
      <c r="X6694" s="1">
        <v>0.16719999999999999</v>
      </c>
      <c r="Y6694" s="1">
        <v>0.1226</v>
      </c>
      <c r="Z6694" s="1">
        <v>2.8999999999999998E-3</v>
      </c>
      <c r="AA6694" s="1">
        <v>2.3999999999999998E-3</v>
      </c>
      <c r="AB6694" s="1">
        <v>2.6800000000000001E-2</v>
      </c>
      <c r="AD6694" s="1">
        <v>0.23130000000000001</v>
      </c>
      <c r="AE6694" s="1">
        <v>1.46E-2</v>
      </c>
    </row>
    <row r="6695" spans="1:31" x14ac:dyDescent="0.25">
      <c r="A6695" t="s">
        <v>203</v>
      </c>
      <c r="B6695" t="s">
        <v>228</v>
      </c>
      <c r="C6695">
        <v>131</v>
      </c>
      <c r="D6695" t="s">
        <v>201</v>
      </c>
      <c r="E6695">
        <v>1926</v>
      </c>
      <c r="F6695" s="1">
        <v>7.3700000000000002E-2</v>
      </c>
      <c r="G6695" s="1">
        <v>0.23200000000000001</v>
      </c>
      <c r="H6695" s="1">
        <v>0.628</v>
      </c>
      <c r="I6695" s="1">
        <v>1.29E-2</v>
      </c>
      <c r="J6695" s="1">
        <v>0.1012</v>
      </c>
      <c r="K6695" s="1">
        <v>5.0900000000000001E-2</v>
      </c>
      <c r="L6695" s="1">
        <v>0.1154</v>
      </c>
      <c r="M6695" s="1">
        <v>8.8499999999999995E-2</v>
      </c>
      <c r="N6695" s="1">
        <v>0.41639999999999999</v>
      </c>
      <c r="O6695" s="1">
        <v>0.30919999999999997</v>
      </c>
      <c r="P6695" s="1">
        <v>9.1000000000000004E-3</v>
      </c>
      <c r="Q6695" s="1">
        <v>0.11409999999999999</v>
      </c>
      <c r="S6695" s="1">
        <v>0.1676</v>
      </c>
      <c r="T6695" s="1">
        <v>1.5299999999999999E-2</v>
      </c>
      <c r="V6695" s="1">
        <v>2.5000000000000001E-3</v>
      </c>
      <c r="W6695" s="1">
        <v>0.1991</v>
      </c>
      <c r="X6695" s="1">
        <v>0.33500000000000002</v>
      </c>
      <c r="Y6695" s="1">
        <v>7.9299999999999995E-2</v>
      </c>
      <c r="Z6695" s="1">
        <v>9.8500000000000004E-2</v>
      </c>
      <c r="AA6695" s="1">
        <v>7.0999999999999994E-2</v>
      </c>
      <c r="AB6695" s="1">
        <v>4.8000000000000001E-2</v>
      </c>
      <c r="AC6695" s="1">
        <v>9.1000000000000004E-3</v>
      </c>
      <c r="AD6695" s="1">
        <v>0.3231</v>
      </c>
      <c r="AE6695" s="1">
        <v>0.1328</v>
      </c>
    </row>
    <row r="6696" spans="1:31" s="29" customFormat="1" x14ac:dyDescent="0.25">
      <c r="A6696" s="29" t="s">
        <v>203</v>
      </c>
      <c r="B6696" s="29" t="s">
        <v>228</v>
      </c>
      <c r="C6696" s="29">
        <v>21</v>
      </c>
      <c r="D6696" s="29" t="s">
        <v>202</v>
      </c>
      <c r="E6696" s="29">
        <v>1926</v>
      </c>
      <c r="F6696" s="30">
        <v>5.1900000000000002E-2</v>
      </c>
      <c r="G6696" s="30">
        <v>5.1900000000000002E-2</v>
      </c>
      <c r="H6696" s="30">
        <v>0.34639999999999999</v>
      </c>
      <c r="I6696" s="30">
        <v>2.9600000000000001E-2</v>
      </c>
      <c r="M6696" s="30">
        <v>2.23E-2</v>
      </c>
      <c r="N6696" s="30">
        <v>2.23E-2</v>
      </c>
      <c r="O6696" s="30">
        <v>0.33650000000000002</v>
      </c>
      <c r="Q6696" s="30">
        <v>5.9200000000000003E-2</v>
      </c>
      <c r="S6696" s="30">
        <v>0.34670000000000001</v>
      </c>
      <c r="X6696" s="30">
        <v>2.23E-2</v>
      </c>
      <c r="Y6696" s="30">
        <v>6.5000000000000002E-2</v>
      </c>
      <c r="Z6696" s="30">
        <v>2.9600000000000001E-2</v>
      </c>
    </row>
    <row r="6697" spans="1:31" s="29" customFormat="1" x14ac:dyDescent="0.25">
      <c r="A6697" s="29" t="s">
        <v>203</v>
      </c>
      <c r="B6697" s="29" t="s">
        <v>229</v>
      </c>
      <c r="C6697" s="29">
        <v>26</v>
      </c>
      <c r="D6697" s="29" t="s">
        <v>202</v>
      </c>
      <c r="E6697" s="29">
        <v>1926</v>
      </c>
      <c r="G6697" s="30">
        <v>2.8799999999999999E-2</v>
      </c>
      <c r="H6697" s="30">
        <v>0.20910000000000001</v>
      </c>
      <c r="J6697" s="30">
        <v>7.6600000000000001E-2</v>
      </c>
      <c r="M6697" s="30">
        <v>1.3899999999999999E-2</v>
      </c>
      <c r="N6697" s="30">
        <v>5.9299999999999999E-2</v>
      </c>
      <c r="O6697" s="30">
        <v>6.9800000000000001E-2</v>
      </c>
      <c r="P6697" s="30">
        <v>1.3899999999999999E-2</v>
      </c>
      <c r="Q6697" s="30">
        <v>8.3299999999999999E-2</v>
      </c>
      <c r="S6697" s="30">
        <v>0.54869999999999997</v>
      </c>
      <c r="T6697" s="30">
        <v>8.2500000000000004E-2</v>
      </c>
      <c r="W6697" s="30">
        <v>0.122</v>
      </c>
      <c r="Y6697" s="30">
        <v>0.1205</v>
      </c>
      <c r="AB6697" s="30">
        <v>2.8799999999999999E-2</v>
      </c>
    </row>
    <row r="6698" spans="1:31" x14ac:dyDescent="0.25">
      <c r="A6698" t="s">
        <v>204</v>
      </c>
      <c r="B6698" t="s">
        <v>204</v>
      </c>
      <c r="C6698">
        <v>1926</v>
      </c>
      <c r="D6698" t="s">
        <v>204</v>
      </c>
      <c r="E6698">
        <v>1926</v>
      </c>
      <c r="F6698" s="1">
        <v>3.4500000000000003E-2</v>
      </c>
      <c r="G6698" s="1">
        <v>4.7600000000000003E-2</v>
      </c>
      <c r="H6698" s="1">
        <v>0.52610000000000001</v>
      </c>
      <c r="I6698" s="1">
        <v>6.8999999999999999E-3</v>
      </c>
      <c r="J6698" s="1">
        <v>8.5099999999999995E-2</v>
      </c>
      <c r="K6698" s="1">
        <v>8.2600000000000007E-2</v>
      </c>
      <c r="L6698" s="1">
        <v>3.0800000000000001E-2</v>
      </c>
      <c r="M6698" s="1">
        <v>6.88E-2</v>
      </c>
      <c r="N6698" s="1">
        <v>0.30480000000000002</v>
      </c>
      <c r="O6698" s="1">
        <v>0.26390000000000002</v>
      </c>
      <c r="P6698" s="1">
        <v>2.1700000000000001E-2</v>
      </c>
      <c r="Q6698" s="1">
        <v>0.11849999999999999</v>
      </c>
      <c r="R6698" s="1">
        <v>5.7700000000000001E-2</v>
      </c>
      <c r="S6698" s="1">
        <v>0.2112</v>
      </c>
      <c r="T6698" s="1">
        <v>3.56E-2</v>
      </c>
      <c r="U6698" s="1">
        <v>1.34E-2</v>
      </c>
      <c r="V6698" s="1">
        <v>3.3E-3</v>
      </c>
      <c r="W6698" s="1">
        <v>0.1043</v>
      </c>
      <c r="X6698" s="1">
        <v>0.15240000000000001</v>
      </c>
      <c r="Y6698" s="1">
        <v>5.4899999999999997E-2</v>
      </c>
      <c r="Z6698" s="1">
        <v>6.6E-3</v>
      </c>
      <c r="AA6698" s="1">
        <v>0.13109999999999999</v>
      </c>
      <c r="AB6698" s="1">
        <v>3.9800000000000002E-2</v>
      </c>
      <c r="AC6698" s="1">
        <v>1.54E-2</v>
      </c>
      <c r="AD6698" s="1">
        <v>3.7199999999999997E-2</v>
      </c>
      <c r="AE6698" s="1">
        <v>8.0000000000000002E-3</v>
      </c>
    </row>
    <row r="6700" spans="1:31" x14ac:dyDescent="0.25">
      <c r="A6700" t="s">
        <v>1212</v>
      </c>
    </row>
    <row r="6701" spans="1:31" x14ac:dyDescent="0.25">
      <c r="A6701" t="s">
        <v>190</v>
      </c>
      <c r="B6701" t="s">
        <v>206</v>
      </c>
      <c r="C6701" t="s">
        <v>195</v>
      </c>
      <c r="D6701" t="s">
        <v>189</v>
      </c>
      <c r="E6701" t="s">
        <v>196</v>
      </c>
      <c r="F6701" t="s">
        <v>1187</v>
      </c>
      <c r="G6701" t="s">
        <v>1188</v>
      </c>
      <c r="H6701" t="s">
        <v>1189</v>
      </c>
      <c r="I6701" t="s">
        <v>1190</v>
      </c>
      <c r="J6701" t="s">
        <v>1191</v>
      </c>
      <c r="K6701" t="s">
        <v>1192</v>
      </c>
      <c r="L6701" t="s">
        <v>1193</v>
      </c>
      <c r="M6701" t="s">
        <v>1194</v>
      </c>
      <c r="N6701" t="s">
        <v>1195</v>
      </c>
      <c r="O6701" t="s">
        <v>1196</v>
      </c>
      <c r="P6701" t="s">
        <v>1197</v>
      </c>
      <c r="Q6701" t="s">
        <v>1198</v>
      </c>
      <c r="R6701" t="s">
        <v>1199</v>
      </c>
      <c r="S6701" t="s">
        <v>271</v>
      </c>
      <c r="T6701" t="s">
        <v>1200</v>
      </c>
      <c r="U6701" t="s">
        <v>1201</v>
      </c>
      <c r="V6701" t="s">
        <v>235</v>
      </c>
      <c r="W6701" t="s">
        <v>1202</v>
      </c>
      <c r="X6701" t="s">
        <v>1203</v>
      </c>
      <c r="Y6701" t="s">
        <v>1204</v>
      </c>
      <c r="Z6701" t="s">
        <v>1205</v>
      </c>
      <c r="AA6701" t="s">
        <v>1206</v>
      </c>
      <c r="AB6701" t="s">
        <v>1207</v>
      </c>
      <c r="AC6701" t="s">
        <v>1208</v>
      </c>
      <c r="AD6701" t="s">
        <v>1209</v>
      </c>
      <c r="AE6701" t="s">
        <v>1210</v>
      </c>
    </row>
    <row r="6702" spans="1:31" x14ac:dyDescent="0.25">
      <c r="A6702" t="s">
        <v>198</v>
      </c>
      <c r="B6702" t="s">
        <v>348</v>
      </c>
      <c r="C6702">
        <v>70</v>
      </c>
      <c r="D6702" t="s">
        <v>197</v>
      </c>
      <c r="E6702">
        <v>1926</v>
      </c>
      <c r="F6702" s="1">
        <v>8.6999999999999994E-3</v>
      </c>
      <c r="G6702" s="1">
        <v>9.1300000000000006E-2</v>
      </c>
      <c r="H6702" s="1">
        <v>0.7228</v>
      </c>
      <c r="I6702" s="1">
        <v>2.4799999999999999E-2</v>
      </c>
      <c r="J6702" s="1">
        <v>0.27310000000000001</v>
      </c>
      <c r="K6702" s="1">
        <v>0.17330000000000001</v>
      </c>
      <c r="L6702" s="1">
        <v>2.4299999999999999E-2</v>
      </c>
      <c r="M6702" s="1">
        <v>7.9899999999999999E-2</v>
      </c>
      <c r="N6702" s="1">
        <v>0.48830000000000001</v>
      </c>
      <c r="O6702" s="1">
        <v>0.34429999999999999</v>
      </c>
      <c r="P6702" s="1">
        <v>6.5600000000000006E-2</v>
      </c>
      <c r="Q6702" s="1">
        <v>0.16789999999999999</v>
      </c>
      <c r="R6702" s="1">
        <v>0.1326</v>
      </c>
      <c r="S6702" s="1">
        <v>3.3000000000000002E-2</v>
      </c>
      <c r="U6702" s="1">
        <v>5.5100000000000003E-2</v>
      </c>
      <c r="W6702" s="1">
        <v>0.23130000000000001</v>
      </c>
      <c r="X6702" s="1">
        <v>0.26850000000000002</v>
      </c>
      <c r="Y6702" s="1">
        <v>6.2E-2</v>
      </c>
      <c r="Z6702" s="1">
        <v>8.6999999999999994E-3</v>
      </c>
      <c r="AA6702" s="1">
        <v>0.26440000000000002</v>
      </c>
      <c r="AB6702" s="1">
        <v>5.6399999999999999E-2</v>
      </c>
      <c r="AC6702" s="1">
        <v>8.6999999999999994E-3</v>
      </c>
      <c r="AD6702" s="1">
        <v>3.49E-2</v>
      </c>
    </row>
    <row r="6703" spans="1:31" s="29" customFormat="1" x14ac:dyDescent="0.25">
      <c r="A6703" s="29" t="s">
        <v>198</v>
      </c>
      <c r="B6703" s="29" t="s">
        <v>349</v>
      </c>
      <c r="C6703" s="29">
        <v>3</v>
      </c>
      <c r="D6703" s="29" t="s">
        <v>197</v>
      </c>
      <c r="E6703" s="29">
        <v>1926</v>
      </c>
      <c r="G6703" s="30">
        <v>0.33329999999999999</v>
      </c>
      <c r="H6703" s="30">
        <v>1</v>
      </c>
      <c r="L6703" s="30">
        <v>0.33329999999999999</v>
      </c>
      <c r="N6703" s="30">
        <v>0.66669999999999996</v>
      </c>
      <c r="W6703" s="30">
        <v>0.33329999999999999</v>
      </c>
      <c r="X6703" s="30">
        <v>0.33329999999999999</v>
      </c>
      <c r="AA6703" s="30">
        <v>0.33329999999999999</v>
      </c>
    </row>
    <row r="6704" spans="1:31" x14ac:dyDescent="0.25">
      <c r="A6704" t="s">
        <v>198</v>
      </c>
      <c r="B6704" t="s">
        <v>350</v>
      </c>
      <c r="C6704">
        <v>154</v>
      </c>
      <c r="D6704" t="s">
        <v>199</v>
      </c>
      <c r="E6704">
        <v>1926</v>
      </c>
      <c r="F6704" s="1">
        <v>1.38E-2</v>
      </c>
      <c r="G6704" s="1">
        <v>4.24E-2</v>
      </c>
      <c r="H6704" s="1">
        <v>0.78600000000000003</v>
      </c>
      <c r="I6704" s="1">
        <v>8.9999999999999998E-4</v>
      </c>
      <c r="J6704" s="1">
        <v>9.4799999999999995E-2</v>
      </c>
      <c r="K6704" s="1">
        <v>5.79E-2</v>
      </c>
      <c r="L6704" s="1">
        <v>2.2200000000000001E-2</v>
      </c>
      <c r="M6704" s="1">
        <v>0.11550000000000001</v>
      </c>
      <c r="N6704" s="1">
        <v>0.38140000000000002</v>
      </c>
      <c r="O6704" s="1">
        <v>0.33210000000000001</v>
      </c>
      <c r="P6704" s="1">
        <v>2.3699999999999999E-2</v>
      </c>
      <c r="Q6704" s="1">
        <v>0.32029999999999997</v>
      </c>
      <c r="R6704" s="1">
        <v>4.0599999999999997E-2</v>
      </c>
      <c r="S6704" s="1">
        <v>1.14E-2</v>
      </c>
      <c r="T6704" s="1">
        <v>4.6699999999999998E-2</v>
      </c>
      <c r="U6704" s="1">
        <v>5.7000000000000002E-3</v>
      </c>
      <c r="V6704" s="1">
        <v>9.2999999999999992E-3</v>
      </c>
      <c r="W6704" s="1">
        <v>0.19769999999999999</v>
      </c>
      <c r="X6704" s="1">
        <v>0.2472</v>
      </c>
      <c r="Y6704" s="1">
        <v>2.2800000000000001E-2</v>
      </c>
      <c r="AA6704" s="1">
        <v>0.22450000000000001</v>
      </c>
      <c r="AB6704" s="1">
        <v>5.2400000000000002E-2</v>
      </c>
      <c r="AC6704" s="1">
        <v>4.4999999999999997E-3</v>
      </c>
      <c r="AD6704" s="1">
        <v>1.9199999999999998E-2</v>
      </c>
      <c r="AE6704" s="1">
        <v>8.9999999999999998E-4</v>
      </c>
    </row>
    <row r="6705" spans="1:31" x14ac:dyDescent="0.25">
      <c r="A6705" t="s">
        <v>198</v>
      </c>
      <c r="B6705" t="s">
        <v>348</v>
      </c>
      <c r="C6705">
        <v>49</v>
      </c>
      <c r="D6705" t="s">
        <v>199</v>
      </c>
      <c r="E6705">
        <v>1926</v>
      </c>
      <c r="F6705" s="1">
        <v>2.7799999999999998E-2</v>
      </c>
      <c r="G6705" s="1">
        <v>4.53E-2</v>
      </c>
      <c r="H6705" s="1">
        <v>0.56399999999999995</v>
      </c>
      <c r="I6705" s="1">
        <v>6.4999999999999997E-3</v>
      </c>
      <c r="J6705" s="1">
        <v>4.1999999999999997E-3</v>
      </c>
      <c r="K6705" s="1">
        <v>0.127</v>
      </c>
      <c r="L6705" s="1">
        <v>4.1999999999999997E-3</v>
      </c>
      <c r="M6705" s="1">
        <v>3.0800000000000001E-2</v>
      </c>
      <c r="N6705" s="1">
        <v>0.36720000000000003</v>
      </c>
      <c r="O6705" s="1">
        <v>0.32929999999999998</v>
      </c>
      <c r="P6705" s="1">
        <v>1.4500000000000001E-2</v>
      </c>
      <c r="Q6705" s="1">
        <v>0.1744</v>
      </c>
      <c r="R6705" s="1">
        <v>6.1100000000000002E-2</v>
      </c>
      <c r="S6705" s="1">
        <v>0.22869999999999999</v>
      </c>
      <c r="T6705" s="1">
        <v>8.5000000000000006E-2</v>
      </c>
      <c r="W6705" s="1">
        <v>1.0999999999999999E-2</v>
      </c>
      <c r="X6705" s="1">
        <v>0.1875</v>
      </c>
      <c r="Z6705" s="1">
        <v>4.1999999999999997E-3</v>
      </c>
      <c r="AA6705" s="1">
        <v>9.74E-2</v>
      </c>
      <c r="AB6705" s="1">
        <v>4.1999999999999997E-3</v>
      </c>
      <c r="AD6705" s="1">
        <v>1.0699999999999999E-2</v>
      </c>
      <c r="AE6705" s="1">
        <v>6.4999999999999997E-3</v>
      </c>
    </row>
    <row r="6706" spans="1:31" x14ac:dyDescent="0.25">
      <c r="A6706" t="s">
        <v>198</v>
      </c>
      <c r="B6706" t="s">
        <v>349</v>
      </c>
      <c r="C6706">
        <v>83</v>
      </c>
      <c r="D6706" t="s">
        <v>199</v>
      </c>
      <c r="E6706">
        <v>1926</v>
      </c>
      <c r="F6706" s="1">
        <v>1.44E-2</v>
      </c>
      <c r="G6706" s="1">
        <v>3.5400000000000001E-2</v>
      </c>
      <c r="H6706" s="1">
        <v>0.77800000000000002</v>
      </c>
      <c r="I6706" s="1">
        <v>1.9300000000000001E-2</v>
      </c>
      <c r="J6706" s="1">
        <v>5.91E-2</v>
      </c>
      <c r="K6706" s="1">
        <v>0.1439</v>
      </c>
      <c r="L6706" s="1">
        <v>1.95E-2</v>
      </c>
      <c r="M6706" s="1">
        <v>4.7300000000000002E-2</v>
      </c>
      <c r="N6706" s="1">
        <v>0.35410000000000003</v>
      </c>
      <c r="O6706" s="1">
        <v>0.2019</v>
      </c>
      <c r="P6706" s="1">
        <v>2.0799999999999999E-2</v>
      </c>
      <c r="Q6706" s="1">
        <v>6.3600000000000004E-2</v>
      </c>
      <c r="R6706" s="1">
        <v>0.1447</v>
      </c>
      <c r="S6706" s="1">
        <v>0.10580000000000001</v>
      </c>
      <c r="T6706" s="1">
        <v>7.7999999999999996E-3</v>
      </c>
      <c r="U6706" s="1">
        <v>2.6200000000000001E-2</v>
      </c>
      <c r="V6706" s="1">
        <v>8.9999999999999998E-4</v>
      </c>
      <c r="W6706" s="1">
        <v>0.10879999999999999</v>
      </c>
      <c r="X6706" s="1">
        <v>0.26190000000000002</v>
      </c>
      <c r="Y6706" s="1">
        <v>1.2999999999999999E-3</v>
      </c>
      <c r="AA6706" s="1">
        <v>0.36870000000000003</v>
      </c>
      <c r="AB6706" s="1">
        <v>2.6499999999999999E-2</v>
      </c>
      <c r="AD6706" s="1">
        <v>6.1000000000000004E-3</v>
      </c>
      <c r="AE6706" s="1">
        <v>3.7499999999999999E-2</v>
      </c>
    </row>
    <row r="6707" spans="1:31" x14ac:dyDescent="0.25">
      <c r="A6707" t="s">
        <v>198</v>
      </c>
      <c r="B6707" t="s">
        <v>348</v>
      </c>
      <c r="C6707">
        <v>168</v>
      </c>
      <c r="D6707" t="s">
        <v>200</v>
      </c>
      <c r="E6707">
        <v>1926</v>
      </c>
      <c r="F6707" s="1">
        <v>3.2300000000000002E-2</v>
      </c>
      <c r="G6707" s="1">
        <v>2.7400000000000001E-2</v>
      </c>
      <c r="H6707" s="1">
        <v>0.53439999999999999</v>
      </c>
      <c r="J6707" s="1">
        <v>8.2699999999999996E-2</v>
      </c>
      <c r="K6707" s="1">
        <v>0.15609999999999999</v>
      </c>
      <c r="L6707" s="1">
        <v>4.4299999999999999E-2</v>
      </c>
      <c r="M6707" s="1">
        <v>5.11E-2</v>
      </c>
      <c r="N6707" s="1">
        <v>0.32629999999999998</v>
      </c>
      <c r="O6707" s="1">
        <v>0.28660000000000002</v>
      </c>
      <c r="P6707" s="1">
        <v>4.0800000000000003E-2</v>
      </c>
      <c r="Q6707" s="1">
        <v>7.2700000000000001E-2</v>
      </c>
      <c r="R6707" s="1">
        <v>0.11940000000000001</v>
      </c>
      <c r="S6707" s="1">
        <v>0.1007</v>
      </c>
      <c r="T6707" s="1">
        <v>3.9E-2</v>
      </c>
      <c r="U6707" s="1">
        <v>4.4299999999999999E-2</v>
      </c>
      <c r="V6707" s="1">
        <v>4.8999999999999998E-3</v>
      </c>
      <c r="W6707" s="1">
        <v>0.1027</v>
      </c>
      <c r="X6707" s="1">
        <v>0.1646</v>
      </c>
      <c r="Y6707" s="1">
        <v>8.8200000000000001E-2</v>
      </c>
      <c r="Z6707" s="1">
        <v>6.7000000000000002E-3</v>
      </c>
      <c r="AA6707" s="1">
        <v>0.1363</v>
      </c>
      <c r="AB6707" s="1">
        <v>4.1799999999999997E-2</v>
      </c>
      <c r="AC6707" s="1">
        <v>1.9699999999999999E-2</v>
      </c>
      <c r="AD6707" s="1">
        <v>1.9599999999999999E-2</v>
      </c>
    </row>
    <row r="6708" spans="1:31" x14ac:dyDescent="0.25">
      <c r="A6708" t="s">
        <v>198</v>
      </c>
      <c r="B6708" t="s">
        <v>349</v>
      </c>
      <c r="C6708">
        <v>46</v>
      </c>
      <c r="D6708" t="s">
        <v>200</v>
      </c>
      <c r="E6708">
        <v>1926</v>
      </c>
      <c r="F6708" s="1">
        <v>0.1258</v>
      </c>
      <c r="G6708" s="1">
        <v>0.32350000000000001</v>
      </c>
      <c r="H6708" s="1">
        <v>0.88570000000000004</v>
      </c>
      <c r="I6708" s="1">
        <v>1.5100000000000001E-2</v>
      </c>
      <c r="J6708" s="1">
        <v>3.8100000000000002E-2</v>
      </c>
      <c r="K6708" s="1">
        <v>3.1800000000000002E-2</v>
      </c>
      <c r="L6708" s="1">
        <v>1.9300000000000001E-2</v>
      </c>
      <c r="M6708" s="1">
        <v>0.1191</v>
      </c>
      <c r="N6708" s="1">
        <v>0.47560000000000002</v>
      </c>
      <c r="O6708" s="1">
        <v>0.46629999999999999</v>
      </c>
      <c r="P6708" s="1">
        <v>2.3999999999999998E-3</v>
      </c>
      <c r="Q6708" s="1">
        <v>0.17749999999999999</v>
      </c>
      <c r="R6708" s="1">
        <v>8.2100000000000006E-2</v>
      </c>
      <c r="S6708" s="1">
        <v>1.5100000000000001E-2</v>
      </c>
      <c r="T6708" s="1">
        <v>2.1000000000000001E-2</v>
      </c>
      <c r="V6708" s="1">
        <v>2.3999999999999998E-3</v>
      </c>
      <c r="W6708" s="1">
        <v>0.29480000000000001</v>
      </c>
      <c r="X6708" s="1">
        <v>0.29470000000000002</v>
      </c>
      <c r="Y6708" s="1">
        <v>0.1221</v>
      </c>
      <c r="Z6708" s="1">
        <v>1.5100000000000001E-2</v>
      </c>
      <c r="AA6708" s="1">
        <v>0.42459999999999998</v>
      </c>
      <c r="AB6708" s="1">
        <v>1.67E-2</v>
      </c>
      <c r="AD6708" s="1">
        <v>3.9800000000000002E-2</v>
      </c>
    </row>
    <row r="6709" spans="1:31" x14ac:dyDescent="0.25">
      <c r="A6709" t="s">
        <v>198</v>
      </c>
      <c r="B6709" t="s">
        <v>350</v>
      </c>
      <c r="C6709">
        <v>60</v>
      </c>
      <c r="D6709" t="s">
        <v>200</v>
      </c>
      <c r="E6709">
        <v>1926</v>
      </c>
      <c r="F6709" s="1">
        <v>6.2700000000000006E-2</v>
      </c>
      <c r="G6709" s="1">
        <v>0.13289999999999999</v>
      </c>
      <c r="H6709" s="1">
        <v>0.69669999999999999</v>
      </c>
      <c r="I6709" s="1">
        <v>1.5699999999999999E-2</v>
      </c>
      <c r="J6709" s="1">
        <v>0.2021</v>
      </c>
      <c r="K6709" s="1">
        <v>0.1976</v>
      </c>
      <c r="L6709" s="1">
        <v>7.5800000000000006E-2</v>
      </c>
      <c r="M6709" s="1">
        <v>9.5200000000000007E-2</v>
      </c>
      <c r="N6709" s="1">
        <v>0.42649999999999999</v>
      </c>
      <c r="O6709" s="1">
        <v>0.34370000000000001</v>
      </c>
      <c r="Q6709" s="1">
        <v>0.25559999999999999</v>
      </c>
      <c r="R6709" s="1">
        <v>0.13589999999999999</v>
      </c>
      <c r="S6709" s="1">
        <v>6.4000000000000001E-2</v>
      </c>
      <c r="U6709" s="1">
        <v>1.9E-3</v>
      </c>
      <c r="W6709" s="1">
        <v>0.36209999999999998</v>
      </c>
      <c r="X6709" s="1">
        <v>0.26889999999999997</v>
      </c>
      <c r="Y6709" s="1">
        <v>6.0100000000000001E-2</v>
      </c>
      <c r="AA6709" s="1">
        <v>0.19270000000000001</v>
      </c>
      <c r="AB6709" s="1">
        <v>6.4699999999999994E-2</v>
      </c>
      <c r="AC6709" s="1">
        <v>4.4400000000000002E-2</v>
      </c>
      <c r="AD6709" s="1">
        <v>0.11890000000000001</v>
      </c>
      <c r="AE6709" s="1">
        <v>5.6800000000000003E-2</v>
      </c>
    </row>
    <row r="6710" spans="1:31" x14ac:dyDescent="0.25">
      <c r="A6710" t="s">
        <v>198</v>
      </c>
      <c r="B6710" t="s">
        <v>348</v>
      </c>
      <c r="C6710">
        <v>40</v>
      </c>
      <c r="D6710" t="s">
        <v>201</v>
      </c>
      <c r="E6710">
        <v>1926</v>
      </c>
      <c r="F6710" s="1">
        <v>9.0200000000000002E-2</v>
      </c>
      <c r="G6710" s="1">
        <v>0.18260000000000001</v>
      </c>
      <c r="H6710" s="1">
        <v>0.66690000000000005</v>
      </c>
      <c r="I6710" s="1">
        <v>3.1E-2</v>
      </c>
      <c r="J6710" s="1">
        <v>0.1855</v>
      </c>
      <c r="K6710" s="1">
        <v>5.21E-2</v>
      </c>
      <c r="L6710" s="1">
        <v>1.5599999999999999E-2</v>
      </c>
      <c r="M6710" s="1">
        <v>0.18840000000000001</v>
      </c>
      <c r="N6710" s="1">
        <v>0.54210000000000003</v>
      </c>
      <c r="O6710" s="1">
        <v>0.26669999999999999</v>
      </c>
      <c r="P6710" s="1">
        <v>7.7999999999999996E-3</v>
      </c>
      <c r="Q6710" s="1">
        <v>3.0099999999999998E-2</v>
      </c>
      <c r="R6710" s="1">
        <v>0.1069</v>
      </c>
      <c r="S6710" s="1">
        <v>3.1E-2</v>
      </c>
      <c r="T6710" s="1">
        <v>4.6699999999999998E-2</v>
      </c>
      <c r="U6710" s="1">
        <v>4.6399999999999997E-2</v>
      </c>
      <c r="W6710" s="1">
        <v>0.28820000000000001</v>
      </c>
      <c r="X6710" s="1">
        <v>0.35959999999999998</v>
      </c>
      <c r="Y6710" s="1">
        <v>4.6399999999999997E-2</v>
      </c>
      <c r="Z6710" s="1">
        <v>8.2600000000000007E-2</v>
      </c>
      <c r="AA6710" s="1">
        <v>0.20910000000000001</v>
      </c>
      <c r="AB6710" s="1">
        <v>8.2600000000000007E-2</v>
      </c>
      <c r="AD6710" s="1">
        <v>9.0499999999999997E-2</v>
      </c>
      <c r="AE6710" s="1">
        <v>5.6500000000000002E-2</v>
      </c>
    </row>
    <row r="6711" spans="1:31" x14ac:dyDescent="0.25">
      <c r="A6711" t="s">
        <v>198</v>
      </c>
      <c r="B6711" t="s">
        <v>350</v>
      </c>
      <c r="C6711">
        <v>46</v>
      </c>
      <c r="D6711" t="s">
        <v>201</v>
      </c>
      <c r="E6711">
        <v>1926</v>
      </c>
      <c r="F6711" s="1">
        <v>0.13750000000000001</v>
      </c>
      <c r="G6711" s="1">
        <v>0.1052</v>
      </c>
      <c r="H6711" s="1">
        <v>0.51639999999999997</v>
      </c>
      <c r="I6711" s="1">
        <v>2.1899999999999999E-2</v>
      </c>
      <c r="J6711" s="1">
        <v>0.1167</v>
      </c>
      <c r="K6711" s="1">
        <v>9.6699999999999994E-2</v>
      </c>
      <c r="L6711" s="1">
        <v>2.1899999999999999E-2</v>
      </c>
      <c r="M6711" s="1">
        <v>0.10639999999999999</v>
      </c>
      <c r="N6711" s="1">
        <v>0.2127</v>
      </c>
      <c r="O6711" s="1">
        <v>0.2366</v>
      </c>
      <c r="Q6711" s="1">
        <v>0.1032</v>
      </c>
      <c r="R6711" s="1">
        <v>5.4100000000000002E-2</v>
      </c>
      <c r="S6711" s="1">
        <v>8.7599999999999997E-2</v>
      </c>
      <c r="W6711" s="1">
        <v>0.25109999999999999</v>
      </c>
      <c r="X6711" s="1">
        <v>0.13739999999999999</v>
      </c>
      <c r="Y6711" s="1">
        <v>4.3799999999999999E-2</v>
      </c>
      <c r="AA6711" s="1">
        <v>0.15210000000000001</v>
      </c>
      <c r="AB6711" s="1">
        <v>1.03E-2</v>
      </c>
      <c r="AD6711" s="1">
        <v>4.3799999999999999E-2</v>
      </c>
      <c r="AE6711" s="1">
        <v>1.03E-2</v>
      </c>
    </row>
    <row r="6712" spans="1:31" x14ac:dyDescent="0.25">
      <c r="A6712" t="s">
        <v>198</v>
      </c>
      <c r="B6712" t="s">
        <v>349</v>
      </c>
      <c r="C6712">
        <v>108</v>
      </c>
      <c r="D6712" t="s">
        <v>201</v>
      </c>
      <c r="E6712">
        <v>1926</v>
      </c>
      <c r="F6712" s="1">
        <v>1.18E-2</v>
      </c>
      <c r="G6712" s="1">
        <v>5.1700000000000003E-2</v>
      </c>
      <c r="H6712" s="1">
        <v>0.5746</v>
      </c>
      <c r="I6712" s="1">
        <v>8.0000000000000002E-3</v>
      </c>
      <c r="J6712" s="1">
        <v>0.1226</v>
      </c>
      <c r="K6712" s="1">
        <v>0.1527</v>
      </c>
      <c r="L6712" s="1">
        <v>6.0100000000000001E-2</v>
      </c>
      <c r="M6712" s="1">
        <v>0.16009999999999999</v>
      </c>
      <c r="N6712" s="1">
        <v>0.29310000000000003</v>
      </c>
      <c r="O6712" s="1">
        <v>0.2324</v>
      </c>
      <c r="P6712" s="1">
        <v>5.0200000000000002E-2</v>
      </c>
      <c r="Q6712" s="1">
        <v>0.1409</v>
      </c>
      <c r="R6712" s="1">
        <v>0.13969999999999999</v>
      </c>
      <c r="S6712" s="1">
        <v>5.9499999999999997E-2</v>
      </c>
      <c r="T6712" s="1">
        <v>2.5600000000000001E-2</v>
      </c>
      <c r="U6712" s="1">
        <v>3.32E-2</v>
      </c>
      <c r="V6712" s="1">
        <v>2.52E-2</v>
      </c>
      <c r="W6712" s="1">
        <v>0.1613</v>
      </c>
      <c r="X6712" s="1">
        <v>0.1938</v>
      </c>
      <c r="Y6712" s="1">
        <v>6.8000000000000005E-2</v>
      </c>
      <c r="Z6712" s="1">
        <v>4.1000000000000003E-3</v>
      </c>
      <c r="AA6712" s="1">
        <v>0.19969999999999999</v>
      </c>
      <c r="AB6712" s="1">
        <v>5.3100000000000001E-2</v>
      </c>
      <c r="AC6712" s="1">
        <v>1.55E-2</v>
      </c>
      <c r="AD6712" s="1">
        <v>2.1299999999999999E-2</v>
      </c>
      <c r="AE6712" s="1">
        <v>1.29E-2</v>
      </c>
    </row>
    <row r="6713" spans="1:31" x14ac:dyDescent="0.25">
      <c r="A6713" t="s">
        <v>198</v>
      </c>
      <c r="B6713" t="s">
        <v>348</v>
      </c>
      <c r="C6713">
        <v>78</v>
      </c>
      <c r="D6713" t="s">
        <v>202</v>
      </c>
      <c r="E6713">
        <v>1926</v>
      </c>
      <c r="F6713" s="1">
        <v>1.38E-2</v>
      </c>
      <c r="G6713" s="1">
        <v>4.87E-2</v>
      </c>
      <c r="H6713" s="1">
        <v>0.68169999999999997</v>
      </c>
      <c r="J6713" s="1">
        <v>0.1094</v>
      </c>
      <c r="K6713" s="1">
        <v>0.1497</v>
      </c>
      <c r="L6713" s="1">
        <v>3.6900000000000002E-2</v>
      </c>
      <c r="M6713" s="1">
        <v>0.15709999999999999</v>
      </c>
      <c r="N6713" s="1">
        <v>0.45650000000000002</v>
      </c>
      <c r="O6713" s="1">
        <v>0.40389999999999998</v>
      </c>
      <c r="P6713" s="1">
        <v>1.7100000000000001E-2</v>
      </c>
      <c r="Q6713" s="1">
        <v>0.1983</v>
      </c>
      <c r="R6713" s="1">
        <v>0.11409999999999999</v>
      </c>
      <c r="S6713" s="1">
        <v>0.04</v>
      </c>
      <c r="T6713" s="1">
        <v>0.1091</v>
      </c>
      <c r="W6713" s="1">
        <v>0.1454</v>
      </c>
      <c r="X6713" s="1">
        <v>0.1182</v>
      </c>
      <c r="Y6713" s="1">
        <v>3.5700000000000003E-2</v>
      </c>
      <c r="Z6713" s="1">
        <v>1.38E-2</v>
      </c>
      <c r="AA6713" s="1">
        <v>0.23089999999999999</v>
      </c>
      <c r="AB6713" s="1">
        <v>3.9699999999999999E-2</v>
      </c>
      <c r="AD6713" s="1">
        <v>6.2300000000000001E-2</v>
      </c>
    </row>
    <row r="6714" spans="1:31" x14ac:dyDescent="0.25">
      <c r="A6714" t="s">
        <v>203</v>
      </c>
      <c r="B6714" t="s">
        <v>349</v>
      </c>
      <c r="C6714">
        <v>127</v>
      </c>
      <c r="D6714" t="s">
        <v>199</v>
      </c>
      <c r="E6714">
        <v>1926</v>
      </c>
      <c r="F6714" s="1">
        <v>1.7299999999999999E-2</v>
      </c>
      <c r="G6714" s="1">
        <v>3.0499999999999999E-2</v>
      </c>
      <c r="H6714" s="1">
        <v>0.53800000000000003</v>
      </c>
      <c r="I6714" s="1">
        <v>3.3E-3</v>
      </c>
      <c r="J6714" s="1">
        <v>2.6100000000000002E-2</v>
      </c>
      <c r="K6714" s="1">
        <v>1.78E-2</v>
      </c>
      <c r="L6714" s="1">
        <v>1.8200000000000001E-2</v>
      </c>
      <c r="M6714" s="1">
        <v>1.23E-2</v>
      </c>
      <c r="N6714" s="1">
        <v>0.1721</v>
      </c>
      <c r="O6714" s="1">
        <v>0.153</v>
      </c>
      <c r="P6714" s="1">
        <v>7.6E-3</v>
      </c>
      <c r="Q6714" s="1">
        <v>0.16739999999999999</v>
      </c>
      <c r="R6714" s="1">
        <v>3.8999999999999998E-3</v>
      </c>
      <c r="S6714" s="1">
        <v>0.28100000000000003</v>
      </c>
      <c r="T6714" s="1">
        <v>1.9E-3</v>
      </c>
      <c r="W6714" s="1">
        <v>1.5100000000000001E-2</v>
      </c>
      <c r="X6714" s="1">
        <v>9.0899999999999995E-2</v>
      </c>
      <c r="Y6714" s="1">
        <v>3.8399999999999997E-2</v>
      </c>
      <c r="AA6714" s="1">
        <v>1.6199999999999999E-2</v>
      </c>
      <c r="AB6714" s="1">
        <v>7.6E-3</v>
      </c>
      <c r="AC6714" s="1">
        <v>1.37E-2</v>
      </c>
      <c r="AD6714" s="1">
        <v>4.6100000000000002E-2</v>
      </c>
      <c r="AE6714" s="1">
        <v>1.77E-2</v>
      </c>
    </row>
    <row r="6715" spans="1:31" x14ac:dyDescent="0.25">
      <c r="A6715" t="s">
        <v>203</v>
      </c>
      <c r="B6715" t="s">
        <v>350</v>
      </c>
      <c r="C6715">
        <v>239</v>
      </c>
      <c r="D6715" t="s">
        <v>199</v>
      </c>
      <c r="E6715">
        <v>1926</v>
      </c>
      <c r="F6715" s="1">
        <v>3.6999999999999998E-2</v>
      </c>
      <c r="G6715" s="1">
        <v>4.8099999999999997E-2</v>
      </c>
      <c r="H6715" s="1">
        <v>0.52470000000000006</v>
      </c>
      <c r="I6715" s="1">
        <v>4.7999999999999996E-3</v>
      </c>
      <c r="J6715" s="1">
        <v>0.1138</v>
      </c>
      <c r="K6715" s="1">
        <v>6.7000000000000004E-2</v>
      </c>
      <c r="L6715" s="1">
        <v>4.0599999999999997E-2</v>
      </c>
      <c r="M6715" s="1">
        <v>9.1999999999999998E-2</v>
      </c>
      <c r="N6715" s="1">
        <v>0.33600000000000002</v>
      </c>
      <c r="O6715" s="1">
        <v>0.21529999999999999</v>
      </c>
      <c r="P6715" s="1">
        <v>6.7999999999999996E-3</v>
      </c>
      <c r="Q6715" s="1">
        <v>9.8699999999999996E-2</v>
      </c>
      <c r="R6715" s="1">
        <v>4.0000000000000001E-3</v>
      </c>
      <c r="S6715" s="1">
        <v>0.27189999999999998</v>
      </c>
      <c r="T6715" s="1">
        <v>1.6899999999999998E-2</v>
      </c>
      <c r="U6715" s="1">
        <v>3.0000000000000001E-3</v>
      </c>
      <c r="V6715" s="1">
        <v>5.7000000000000002E-3</v>
      </c>
      <c r="W6715" s="1">
        <v>7.2300000000000003E-2</v>
      </c>
      <c r="X6715" s="1">
        <v>0.11550000000000001</v>
      </c>
      <c r="Y6715" s="1">
        <v>7.7299999999999994E-2</v>
      </c>
      <c r="Z6715" s="1">
        <v>8.9999999999999998E-4</v>
      </c>
      <c r="AA6715" s="1">
        <v>5.0299999999999997E-2</v>
      </c>
      <c r="AB6715" s="1">
        <v>4.9799999999999997E-2</v>
      </c>
      <c r="AC6715" s="1">
        <v>3.3099999999999997E-2</v>
      </c>
      <c r="AD6715" s="1">
        <v>3.5700000000000003E-2</v>
      </c>
      <c r="AE6715" s="1">
        <v>6.7999999999999996E-3</v>
      </c>
    </row>
    <row r="6716" spans="1:31" x14ac:dyDescent="0.25">
      <c r="A6716" t="s">
        <v>203</v>
      </c>
      <c r="B6716" t="s">
        <v>348</v>
      </c>
      <c r="C6716">
        <v>33</v>
      </c>
      <c r="D6716" t="s">
        <v>199</v>
      </c>
      <c r="E6716">
        <v>1926</v>
      </c>
      <c r="F6716" s="1">
        <v>1.37E-2</v>
      </c>
      <c r="G6716" s="1">
        <v>1.3899999999999999E-2</v>
      </c>
      <c r="H6716" s="1">
        <v>0.57830000000000004</v>
      </c>
      <c r="J6716" s="1">
        <v>5.7299999999999997E-2</v>
      </c>
      <c r="L6716" s="1">
        <v>0.19500000000000001</v>
      </c>
      <c r="M6716" s="1">
        <v>0.1009</v>
      </c>
      <c r="N6716" s="1">
        <v>0.1052</v>
      </c>
      <c r="O6716" s="1">
        <v>0.17180000000000001</v>
      </c>
      <c r="P6716" s="1">
        <v>7.0000000000000001E-3</v>
      </c>
      <c r="Q6716" s="1">
        <v>2.76E-2</v>
      </c>
      <c r="S6716" s="1">
        <v>0.21560000000000001</v>
      </c>
      <c r="W6716" s="1">
        <v>1.3899999999999999E-2</v>
      </c>
      <c r="X6716" s="1">
        <v>0.24299999999999999</v>
      </c>
      <c r="Y6716" s="1">
        <v>5.0599999999999999E-2</v>
      </c>
      <c r="Z6716" s="1">
        <v>7.0000000000000001E-3</v>
      </c>
      <c r="AB6716" s="1">
        <v>2.7300000000000001E-2</v>
      </c>
      <c r="AD6716" s="1">
        <v>5.7299999999999997E-2</v>
      </c>
    </row>
    <row r="6717" spans="1:31" x14ac:dyDescent="0.25">
      <c r="A6717" t="s">
        <v>203</v>
      </c>
      <c r="B6717" t="s">
        <v>350</v>
      </c>
      <c r="C6717">
        <v>65</v>
      </c>
      <c r="D6717" t="s">
        <v>200</v>
      </c>
      <c r="E6717">
        <v>1926</v>
      </c>
      <c r="F6717" s="1">
        <v>4.4999999999999998E-2</v>
      </c>
      <c r="G6717" s="1">
        <v>5.8999999999999999E-3</v>
      </c>
      <c r="H6717" s="1">
        <v>0.3271</v>
      </c>
      <c r="J6717" s="1">
        <v>6.2700000000000006E-2</v>
      </c>
      <c r="K6717" s="1">
        <v>7.7000000000000002E-3</v>
      </c>
      <c r="L6717" s="1">
        <v>5.0000000000000001E-3</v>
      </c>
      <c r="M6717" s="1">
        <v>2.2499999999999999E-2</v>
      </c>
      <c r="N6717" s="1">
        <v>0.15329999999999999</v>
      </c>
      <c r="O6717" s="1">
        <v>0.1714</v>
      </c>
      <c r="Q6717" s="1">
        <v>5.3199999999999997E-2</v>
      </c>
      <c r="S6717" s="1">
        <v>0.3417</v>
      </c>
      <c r="T6717" s="1">
        <v>4.8399999999999999E-2</v>
      </c>
      <c r="V6717" s="1">
        <v>3.0700000000000002E-2</v>
      </c>
      <c r="W6717" s="1">
        <v>3.5200000000000002E-2</v>
      </c>
      <c r="X6717" s="1">
        <v>5.8200000000000002E-2</v>
      </c>
      <c r="Y6717" s="1">
        <v>6.7500000000000004E-2</v>
      </c>
      <c r="Z6717" s="1">
        <v>3.2000000000000002E-3</v>
      </c>
      <c r="AA6717" s="1">
        <v>5.6000000000000001E-2</v>
      </c>
      <c r="AB6717" s="1">
        <v>2.01E-2</v>
      </c>
      <c r="AC6717" s="1">
        <v>2.75E-2</v>
      </c>
      <c r="AD6717" s="1">
        <v>3.2000000000000002E-3</v>
      </c>
    </row>
    <row r="6718" spans="1:31" x14ac:dyDescent="0.25">
      <c r="A6718" t="s">
        <v>203</v>
      </c>
      <c r="B6718" t="s">
        <v>349</v>
      </c>
      <c r="C6718">
        <v>81</v>
      </c>
      <c r="D6718" t="s">
        <v>200</v>
      </c>
      <c r="E6718">
        <v>1926</v>
      </c>
      <c r="F6718" s="1">
        <v>9.5200000000000007E-2</v>
      </c>
      <c r="G6718" s="1">
        <v>7.9299999999999995E-2</v>
      </c>
      <c r="H6718" s="1">
        <v>0.59950000000000003</v>
      </c>
      <c r="J6718" s="1">
        <v>2.0799999999999999E-2</v>
      </c>
      <c r="K6718" s="1">
        <v>2.0799999999999999E-2</v>
      </c>
      <c r="L6718" s="1">
        <v>1.8E-3</v>
      </c>
      <c r="M6718" s="1">
        <v>8.43E-2</v>
      </c>
      <c r="N6718" s="1">
        <v>0.1527</v>
      </c>
      <c r="O6718" s="1">
        <v>0.3286</v>
      </c>
      <c r="P6718" s="1">
        <v>2.7099999999999999E-2</v>
      </c>
      <c r="Q6718" s="1">
        <v>4.7100000000000003E-2</v>
      </c>
      <c r="S6718" s="1">
        <v>0.21179999999999999</v>
      </c>
      <c r="T6718" s="1">
        <v>7.8E-2</v>
      </c>
      <c r="W6718" s="1">
        <v>5.8099999999999999E-2</v>
      </c>
      <c r="X6718" s="1">
        <v>0.1031</v>
      </c>
      <c r="Y6718" s="1">
        <v>7.7100000000000002E-2</v>
      </c>
      <c r="AA6718" s="1">
        <v>2.1999999999999999E-2</v>
      </c>
      <c r="AB6718" s="1">
        <v>4.9799999999999997E-2</v>
      </c>
      <c r="AC6718" s="1">
        <v>3.8100000000000002E-2</v>
      </c>
      <c r="AD6718" s="1">
        <v>1.17E-2</v>
      </c>
    </row>
    <row r="6719" spans="1:31" x14ac:dyDescent="0.25">
      <c r="A6719" t="s">
        <v>203</v>
      </c>
      <c r="B6719" t="s">
        <v>348</v>
      </c>
      <c r="C6719">
        <v>163</v>
      </c>
      <c r="D6719" t="s">
        <v>200</v>
      </c>
      <c r="E6719">
        <v>1926</v>
      </c>
      <c r="F6719" s="1">
        <v>5.2400000000000002E-2</v>
      </c>
      <c r="G6719" s="1">
        <v>1.0200000000000001E-2</v>
      </c>
      <c r="H6719" s="1">
        <v>0.1983</v>
      </c>
      <c r="I6719" s="1">
        <v>1.6999999999999999E-3</v>
      </c>
      <c r="J6719" s="1">
        <v>1.72E-2</v>
      </c>
      <c r="K6719" s="1">
        <v>1.15E-2</v>
      </c>
      <c r="L6719" s="1">
        <v>1.7899999999999999E-2</v>
      </c>
      <c r="M6719" s="1">
        <v>8.3999999999999995E-3</v>
      </c>
      <c r="N6719" s="1">
        <v>0.1731</v>
      </c>
      <c r="O6719" s="1">
        <v>0.19059999999999999</v>
      </c>
      <c r="P6719" s="1">
        <v>9.1000000000000004E-3</v>
      </c>
      <c r="Q6719" s="1">
        <v>4.5699999999999998E-2</v>
      </c>
      <c r="S6719" s="1">
        <v>0.48209999999999997</v>
      </c>
      <c r="T6719" s="1">
        <v>2.7699999999999999E-2</v>
      </c>
      <c r="V6719" s="1">
        <v>8.9999999999999998E-4</v>
      </c>
      <c r="W6719" s="1">
        <v>2.92E-2</v>
      </c>
      <c r="X6719" s="1">
        <v>7.8600000000000003E-2</v>
      </c>
      <c r="Y6719" s="1">
        <v>3.9800000000000002E-2</v>
      </c>
      <c r="Z6719" s="1">
        <v>3.5000000000000001E-3</v>
      </c>
      <c r="AA6719" s="1">
        <v>4.3299999999999998E-2</v>
      </c>
      <c r="AB6719" s="1">
        <v>4.1300000000000003E-2</v>
      </c>
      <c r="AC6719" s="1">
        <v>2.7300000000000001E-2</v>
      </c>
      <c r="AD6719" s="1">
        <v>8.8999999999999999E-3</v>
      </c>
      <c r="AE6719" s="1">
        <v>8.9999999999999998E-4</v>
      </c>
    </row>
    <row r="6720" spans="1:31" x14ac:dyDescent="0.25">
      <c r="A6720" t="s">
        <v>203</v>
      </c>
      <c r="B6720" t="s">
        <v>350</v>
      </c>
      <c r="C6720">
        <v>74</v>
      </c>
      <c r="D6720" t="s">
        <v>201</v>
      </c>
      <c r="E6720">
        <v>1926</v>
      </c>
      <c r="F6720" s="1">
        <v>3.8E-3</v>
      </c>
      <c r="G6720" s="1">
        <v>9.0200000000000002E-2</v>
      </c>
      <c r="H6720" s="1">
        <v>0.49590000000000001</v>
      </c>
      <c r="J6720" s="1">
        <v>9.3200000000000005E-2</v>
      </c>
      <c r="K6720" s="1">
        <v>5.9900000000000002E-2</v>
      </c>
      <c r="L6720" s="1">
        <v>7.85E-2</v>
      </c>
      <c r="M6720" s="1">
        <v>2.9899999999999999E-2</v>
      </c>
      <c r="N6720" s="1">
        <v>9.7000000000000003E-2</v>
      </c>
      <c r="O6720" s="1">
        <v>0.2041</v>
      </c>
      <c r="P6720" s="1">
        <v>2.24E-2</v>
      </c>
      <c r="Q6720" s="1">
        <v>8.9499999999999996E-2</v>
      </c>
      <c r="S6720" s="1">
        <v>9.3200000000000005E-2</v>
      </c>
      <c r="V6720" s="1">
        <v>3.8E-3</v>
      </c>
      <c r="W6720" s="1">
        <v>7.0900000000000005E-2</v>
      </c>
      <c r="X6720" s="1">
        <v>7.0900000000000005E-2</v>
      </c>
      <c r="AA6720" s="1">
        <v>4.5100000000000001E-2</v>
      </c>
      <c r="AB6720" s="1">
        <v>0.1118</v>
      </c>
      <c r="AD6720" s="1">
        <v>4.1300000000000003E-2</v>
      </c>
      <c r="AE6720" s="1">
        <v>1.89E-2</v>
      </c>
    </row>
    <row r="6721" spans="1:31" x14ac:dyDescent="0.25">
      <c r="A6721" t="s">
        <v>203</v>
      </c>
      <c r="B6721" t="s">
        <v>349</v>
      </c>
      <c r="C6721">
        <v>112</v>
      </c>
      <c r="D6721" t="s">
        <v>201</v>
      </c>
      <c r="E6721">
        <v>1926</v>
      </c>
      <c r="F6721" s="1">
        <v>7.3099999999999998E-2</v>
      </c>
      <c r="G6721" s="1">
        <v>8.5000000000000006E-2</v>
      </c>
      <c r="H6721" s="1">
        <v>0.61529999999999996</v>
      </c>
      <c r="I6721" s="1">
        <v>2.8000000000000001E-2</v>
      </c>
      <c r="J6721" s="1">
        <v>8.1900000000000001E-2</v>
      </c>
      <c r="K6721" s="1">
        <v>1.17E-2</v>
      </c>
      <c r="L6721" s="1">
        <v>6.3100000000000003E-2</v>
      </c>
      <c r="M6721" s="1">
        <v>8.2400000000000001E-2</v>
      </c>
      <c r="N6721" s="1">
        <v>0.31140000000000001</v>
      </c>
      <c r="O6721" s="1">
        <v>0.36330000000000001</v>
      </c>
      <c r="P6721" s="1">
        <v>1.67E-2</v>
      </c>
      <c r="Q6721" s="1">
        <v>0.1384</v>
      </c>
      <c r="R6721" s="1">
        <v>1.38E-2</v>
      </c>
      <c r="S6721" s="1">
        <v>0.158</v>
      </c>
      <c r="T6721" s="1">
        <v>1.7500000000000002E-2</v>
      </c>
      <c r="V6721" s="1">
        <v>4.0000000000000002E-4</v>
      </c>
      <c r="W6721" s="1">
        <v>7.6899999999999996E-2</v>
      </c>
      <c r="X6721" s="1">
        <v>0.2041</v>
      </c>
      <c r="Y6721" s="1">
        <v>0.1075</v>
      </c>
      <c r="Z6721" s="1">
        <v>2.76E-2</v>
      </c>
      <c r="AA6721" s="1">
        <v>2.0199999999999999E-2</v>
      </c>
      <c r="AB6721" s="1">
        <v>2.53E-2</v>
      </c>
      <c r="AD6721" s="1">
        <v>0.28239999999999998</v>
      </c>
      <c r="AE6721" s="1">
        <v>2.8000000000000001E-2</v>
      </c>
    </row>
    <row r="6722" spans="1:31" x14ac:dyDescent="0.25">
      <c r="A6722" t="s">
        <v>203</v>
      </c>
      <c r="B6722" t="s">
        <v>348</v>
      </c>
      <c r="C6722">
        <v>49</v>
      </c>
      <c r="D6722" t="s">
        <v>201</v>
      </c>
      <c r="E6722">
        <v>1926</v>
      </c>
      <c r="F6722" s="1">
        <v>0.1729</v>
      </c>
      <c r="G6722" s="1">
        <v>0.30959999999999999</v>
      </c>
      <c r="H6722" s="1">
        <v>0.67149999999999999</v>
      </c>
      <c r="I6722" s="1">
        <v>4.0500000000000001E-2</v>
      </c>
      <c r="J6722" s="1">
        <v>0.1019</v>
      </c>
      <c r="K6722" s="1">
        <v>1.8100000000000002E-2</v>
      </c>
      <c r="L6722" s="1">
        <v>3.44E-2</v>
      </c>
      <c r="M6722" s="1">
        <v>8.2000000000000003E-2</v>
      </c>
      <c r="N6722" s="1">
        <v>0.51939999999999997</v>
      </c>
      <c r="O6722" s="1">
        <v>0.2984</v>
      </c>
      <c r="P6722" s="1">
        <v>5.2900000000000003E-2</v>
      </c>
      <c r="Q6722" s="1">
        <v>0.1754</v>
      </c>
      <c r="R6722" s="1">
        <v>8.8999999999999999E-3</v>
      </c>
      <c r="S6722" s="1">
        <v>5.0299999999999997E-2</v>
      </c>
      <c r="T6722" s="1">
        <v>4.1500000000000002E-2</v>
      </c>
      <c r="W6722" s="1">
        <v>0.21490000000000001</v>
      </c>
      <c r="X6722" s="1">
        <v>0.33260000000000001</v>
      </c>
      <c r="Y6722" s="1">
        <v>0.21010000000000001</v>
      </c>
      <c r="Z6722" s="1">
        <v>4.0500000000000001E-2</v>
      </c>
      <c r="AB6722" s="1">
        <v>2.3300000000000001E-2</v>
      </c>
      <c r="AC6722" s="1">
        <v>1.8100000000000002E-2</v>
      </c>
      <c r="AD6722" s="1">
        <v>0.21609999999999999</v>
      </c>
      <c r="AE6722" s="1">
        <v>0.16350000000000001</v>
      </c>
    </row>
    <row r="6723" spans="1:31" x14ac:dyDescent="0.25">
      <c r="A6723" t="s">
        <v>203</v>
      </c>
      <c r="B6723" t="s">
        <v>348</v>
      </c>
      <c r="C6723">
        <v>47</v>
      </c>
      <c r="D6723" t="s">
        <v>202</v>
      </c>
      <c r="E6723">
        <v>1926</v>
      </c>
      <c r="F6723" s="1">
        <v>1.66E-2</v>
      </c>
      <c r="G6723" s="1">
        <v>3.6200000000000003E-2</v>
      </c>
      <c r="H6723" s="1">
        <v>0.253</v>
      </c>
      <c r="I6723" s="1">
        <v>9.4999999999999998E-3</v>
      </c>
      <c r="J6723" s="1">
        <v>5.21E-2</v>
      </c>
      <c r="M6723" s="1">
        <v>1.66E-2</v>
      </c>
      <c r="N6723" s="1">
        <v>4.7500000000000001E-2</v>
      </c>
      <c r="O6723" s="1">
        <v>0.15509999999999999</v>
      </c>
      <c r="P6723" s="1">
        <v>9.4999999999999998E-3</v>
      </c>
      <c r="Q6723" s="1">
        <v>7.5600000000000001E-2</v>
      </c>
      <c r="S6723" s="1">
        <v>0.48409999999999997</v>
      </c>
      <c r="T6723" s="1">
        <v>5.6099999999999997E-2</v>
      </c>
      <c r="W6723" s="1">
        <v>8.3000000000000004E-2</v>
      </c>
      <c r="X6723" s="1">
        <v>7.1000000000000004E-3</v>
      </c>
      <c r="Y6723" s="1">
        <v>0.1027</v>
      </c>
      <c r="Z6723" s="1">
        <v>9.4999999999999998E-3</v>
      </c>
      <c r="AB6723" s="1">
        <v>1.9599999999999999E-2</v>
      </c>
    </row>
    <row r="6724" spans="1:31" x14ac:dyDescent="0.25">
      <c r="A6724" t="s">
        <v>204</v>
      </c>
      <c r="B6724" t="s">
        <v>204</v>
      </c>
      <c r="C6724">
        <v>1926</v>
      </c>
      <c r="D6724" t="s">
        <v>204</v>
      </c>
      <c r="E6724">
        <v>1926</v>
      </c>
      <c r="F6724" s="1">
        <v>3.4500000000000003E-2</v>
      </c>
      <c r="G6724" s="1">
        <v>4.7600000000000003E-2</v>
      </c>
      <c r="H6724" s="1">
        <v>0.52610000000000001</v>
      </c>
      <c r="I6724" s="1">
        <v>6.8999999999999999E-3</v>
      </c>
      <c r="J6724" s="1">
        <v>8.5099999999999995E-2</v>
      </c>
      <c r="K6724" s="1">
        <v>8.2600000000000007E-2</v>
      </c>
      <c r="L6724" s="1">
        <v>3.0800000000000001E-2</v>
      </c>
      <c r="M6724" s="1">
        <v>6.88E-2</v>
      </c>
      <c r="N6724" s="1">
        <v>0.30480000000000002</v>
      </c>
      <c r="O6724" s="1">
        <v>0.26390000000000002</v>
      </c>
      <c r="P6724" s="1">
        <v>2.1700000000000001E-2</v>
      </c>
      <c r="Q6724" s="1">
        <v>0.11849999999999999</v>
      </c>
      <c r="R6724" s="1">
        <v>5.7700000000000001E-2</v>
      </c>
      <c r="S6724" s="1">
        <v>0.2112</v>
      </c>
      <c r="T6724" s="1">
        <v>3.56E-2</v>
      </c>
      <c r="U6724" s="1">
        <v>1.34E-2</v>
      </c>
      <c r="V6724" s="1">
        <v>3.3E-3</v>
      </c>
      <c r="W6724" s="1">
        <v>0.1043</v>
      </c>
      <c r="X6724" s="1">
        <v>0.15240000000000001</v>
      </c>
      <c r="Y6724" s="1">
        <v>5.4899999999999997E-2</v>
      </c>
      <c r="Z6724" s="1">
        <v>6.6E-3</v>
      </c>
      <c r="AA6724" s="1">
        <v>0.13109999999999999</v>
      </c>
      <c r="AB6724" s="1">
        <v>3.9800000000000002E-2</v>
      </c>
      <c r="AC6724" s="1">
        <v>1.54E-2</v>
      </c>
      <c r="AD6724" s="1">
        <v>3.7199999999999997E-2</v>
      </c>
      <c r="AE6724" s="1">
        <v>8.0000000000000002E-3</v>
      </c>
    </row>
    <row r="6726" spans="1:31" x14ac:dyDescent="0.25">
      <c r="A6726" t="s">
        <v>1213</v>
      </c>
    </row>
    <row r="6727" spans="1:31" x14ac:dyDescent="0.25">
      <c r="A6727" t="s">
        <v>190</v>
      </c>
      <c r="B6727" t="s">
        <v>195</v>
      </c>
      <c r="C6727" t="s">
        <v>189</v>
      </c>
      <c r="D6727" t="s">
        <v>196</v>
      </c>
      <c r="E6727" t="s">
        <v>1214</v>
      </c>
      <c r="F6727" t="s">
        <v>1215</v>
      </c>
      <c r="G6727" t="s">
        <v>220</v>
      </c>
      <c r="H6727" t="s">
        <v>1216</v>
      </c>
      <c r="I6727" t="s">
        <v>1217</v>
      </c>
      <c r="J6727" t="s">
        <v>1218</v>
      </c>
      <c r="K6727" t="s">
        <v>215</v>
      </c>
      <c r="L6727" t="s">
        <v>1219</v>
      </c>
      <c r="M6727" t="s">
        <v>1220</v>
      </c>
    </row>
    <row r="6728" spans="1:31" x14ac:dyDescent="0.25">
      <c r="A6728" t="s">
        <v>198</v>
      </c>
      <c r="B6728">
        <v>82</v>
      </c>
      <c r="C6728" t="s">
        <v>197</v>
      </c>
      <c r="D6728">
        <v>2632</v>
      </c>
      <c r="E6728" s="1">
        <v>0.51770000000000005</v>
      </c>
      <c r="F6728" s="1">
        <v>0.24210000000000001</v>
      </c>
      <c r="G6728" s="1">
        <v>6.4100000000000004E-2</v>
      </c>
      <c r="H6728" s="1">
        <v>4.2900000000000001E-2</v>
      </c>
      <c r="I6728" s="1">
        <v>0.1084</v>
      </c>
      <c r="L6728" s="1">
        <v>1.38E-2</v>
      </c>
      <c r="M6728" s="1">
        <v>1.0999999999999999E-2</v>
      </c>
    </row>
    <row r="6729" spans="1:31" x14ac:dyDescent="0.25">
      <c r="A6729" t="s">
        <v>198</v>
      </c>
      <c r="B6729">
        <v>368</v>
      </c>
      <c r="C6729" t="s">
        <v>199</v>
      </c>
      <c r="D6729">
        <v>2632</v>
      </c>
      <c r="E6729" s="1">
        <v>0.37909999999999999</v>
      </c>
      <c r="F6729" s="1">
        <v>0.32319999999999999</v>
      </c>
      <c r="G6729" s="1">
        <v>2.5999999999999999E-2</v>
      </c>
      <c r="H6729" s="1">
        <v>6.7599999999999993E-2</v>
      </c>
      <c r="I6729" s="1">
        <v>0.14080000000000001</v>
      </c>
      <c r="L6729" s="1">
        <v>4.1500000000000002E-2</v>
      </c>
      <c r="M6729" s="1">
        <v>2.18E-2</v>
      </c>
    </row>
    <row r="6730" spans="1:31" x14ac:dyDescent="0.25">
      <c r="A6730" t="s">
        <v>198</v>
      </c>
      <c r="B6730">
        <v>387</v>
      </c>
      <c r="C6730" t="s">
        <v>200</v>
      </c>
      <c r="D6730">
        <v>2632</v>
      </c>
      <c r="E6730" s="1">
        <v>0.46429999999999999</v>
      </c>
      <c r="F6730" s="1">
        <v>0.21060000000000001</v>
      </c>
      <c r="G6730" s="1">
        <v>3.5900000000000001E-2</v>
      </c>
      <c r="H6730" s="1">
        <v>8.7900000000000006E-2</v>
      </c>
      <c r="I6730" s="1">
        <v>0.1124</v>
      </c>
      <c r="J6730" s="1">
        <v>4.5999999999999999E-3</v>
      </c>
      <c r="L6730" s="1">
        <v>2.6499999999999999E-2</v>
      </c>
      <c r="M6730" s="1">
        <v>5.7799999999999997E-2</v>
      </c>
    </row>
    <row r="6731" spans="1:31" x14ac:dyDescent="0.25">
      <c r="A6731" t="s">
        <v>198</v>
      </c>
      <c r="B6731">
        <v>256</v>
      </c>
      <c r="C6731" t="s">
        <v>201</v>
      </c>
      <c r="D6731">
        <v>2632</v>
      </c>
      <c r="E6731" s="1">
        <v>0.46339999999999998</v>
      </c>
      <c r="F6731" s="1">
        <v>0.25829999999999997</v>
      </c>
      <c r="G6731" s="1">
        <v>3.4700000000000002E-2</v>
      </c>
      <c r="H6731" s="1">
        <v>1.9599999999999999E-2</v>
      </c>
      <c r="I6731" s="1">
        <v>0.17860000000000001</v>
      </c>
      <c r="L6731" s="1">
        <v>1.06E-2</v>
      </c>
      <c r="M6731" s="1">
        <v>3.4799999999999998E-2</v>
      </c>
    </row>
    <row r="6732" spans="1:31" x14ac:dyDescent="0.25">
      <c r="A6732" t="s">
        <v>198</v>
      </c>
      <c r="B6732">
        <v>96</v>
      </c>
      <c r="C6732" t="s">
        <v>202</v>
      </c>
      <c r="D6732">
        <v>2632</v>
      </c>
      <c r="E6732" s="1">
        <v>0.53600000000000003</v>
      </c>
      <c r="F6732" s="1">
        <v>0.28789999999999999</v>
      </c>
      <c r="H6732" s="1">
        <v>3.1399999999999997E-2</v>
      </c>
      <c r="I6732" s="1">
        <v>0.1169</v>
      </c>
      <c r="L6732" s="1">
        <v>2.5000000000000001E-3</v>
      </c>
      <c r="M6732" s="1">
        <v>2.52E-2</v>
      </c>
    </row>
    <row r="6733" spans="1:31" x14ac:dyDescent="0.25">
      <c r="A6733" t="s">
        <v>203</v>
      </c>
      <c r="B6733">
        <v>530</v>
      </c>
      <c r="C6733" t="s">
        <v>199</v>
      </c>
      <c r="D6733">
        <v>2632</v>
      </c>
      <c r="E6733" s="1">
        <v>0.35239999999999999</v>
      </c>
      <c r="F6733" s="1">
        <v>0.18690000000000001</v>
      </c>
      <c r="G6733" s="1">
        <v>2.7E-2</v>
      </c>
      <c r="H6733" s="1">
        <v>0.1973</v>
      </c>
      <c r="I6733" s="1">
        <v>0.15</v>
      </c>
      <c r="L6733" s="1">
        <v>7.5700000000000003E-2</v>
      </c>
      <c r="M6733" s="1">
        <v>1.0699999999999999E-2</v>
      </c>
    </row>
    <row r="6734" spans="1:31" x14ac:dyDescent="0.25">
      <c r="A6734" t="s">
        <v>203</v>
      </c>
      <c r="B6734">
        <v>502</v>
      </c>
      <c r="C6734" t="s">
        <v>200</v>
      </c>
      <c r="D6734">
        <v>2632</v>
      </c>
      <c r="E6734" s="1">
        <v>0.14599999999999999</v>
      </c>
      <c r="F6734" s="1">
        <v>0.12920000000000001</v>
      </c>
      <c r="G6734" s="1">
        <v>2.6700000000000002E-2</v>
      </c>
      <c r="H6734" s="1">
        <v>0.51239999999999997</v>
      </c>
      <c r="I6734" s="1">
        <v>7.1800000000000003E-2</v>
      </c>
      <c r="K6734" s="1">
        <v>1.04E-2</v>
      </c>
      <c r="L6734" s="1">
        <v>8.5400000000000004E-2</v>
      </c>
      <c r="M6734" s="1">
        <v>1.83E-2</v>
      </c>
    </row>
    <row r="6735" spans="1:31" x14ac:dyDescent="0.25">
      <c r="A6735" t="s">
        <v>203</v>
      </c>
      <c r="B6735">
        <v>321</v>
      </c>
      <c r="C6735" t="s">
        <v>201</v>
      </c>
      <c r="D6735">
        <v>2632</v>
      </c>
      <c r="E6735" s="1">
        <v>0.33650000000000002</v>
      </c>
      <c r="F6735" s="1">
        <v>0.25330000000000003</v>
      </c>
      <c r="G6735" s="1">
        <v>1.9E-3</v>
      </c>
      <c r="H6735" s="1">
        <v>0.15759999999999999</v>
      </c>
      <c r="I6735" s="1">
        <v>0.2208</v>
      </c>
      <c r="K6735" s="1">
        <v>2.0000000000000001E-4</v>
      </c>
      <c r="L6735" s="1">
        <v>2.01E-2</v>
      </c>
      <c r="M6735" s="1">
        <v>9.7000000000000003E-3</v>
      </c>
    </row>
    <row r="6736" spans="1:31" x14ac:dyDescent="0.25">
      <c r="A6736" t="s">
        <v>203</v>
      </c>
      <c r="B6736">
        <v>90</v>
      </c>
      <c r="C6736" t="s">
        <v>202</v>
      </c>
      <c r="D6736">
        <v>2632</v>
      </c>
      <c r="E6736" s="1">
        <v>0.1062</v>
      </c>
      <c r="F6736" s="1">
        <v>0.22670000000000001</v>
      </c>
      <c r="G6736" s="1">
        <v>1.9900000000000001E-2</v>
      </c>
      <c r="H6736" s="1">
        <v>0.4526</v>
      </c>
      <c r="I6736" s="1">
        <v>9.64E-2</v>
      </c>
      <c r="L6736" s="1">
        <v>9.8199999999999996E-2</v>
      </c>
    </row>
    <row r="6737" spans="1:14" x14ac:dyDescent="0.25">
      <c r="A6737" t="s">
        <v>204</v>
      </c>
      <c r="B6737">
        <v>2632</v>
      </c>
      <c r="C6737" t="s">
        <v>204</v>
      </c>
      <c r="D6737">
        <v>2632</v>
      </c>
      <c r="E6737" s="1">
        <v>0.3266</v>
      </c>
      <c r="F6737" s="1">
        <v>0.2114</v>
      </c>
      <c r="G6737" s="1">
        <v>2.64E-2</v>
      </c>
      <c r="H6737" s="1">
        <v>0.24060000000000001</v>
      </c>
      <c r="I6737" s="1">
        <v>0.1167</v>
      </c>
      <c r="J6737" s="1">
        <v>5.9999999999999995E-4</v>
      </c>
      <c r="K6737" s="1">
        <v>3.2000000000000002E-3</v>
      </c>
      <c r="L6737" s="1">
        <v>5.2299999999999999E-2</v>
      </c>
      <c r="M6737" s="1">
        <v>2.2200000000000001E-2</v>
      </c>
    </row>
    <row r="6739" spans="1:14" x14ac:dyDescent="0.25">
      <c r="A6739" t="s">
        <v>1221</v>
      </c>
    </row>
    <row r="6740" spans="1:14" x14ac:dyDescent="0.25">
      <c r="A6740" t="s">
        <v>190</v>
      </c>
      <c r="B6740" t="s">
        <v>206</v>
      </c>
      <c r="C6740" t="s">
        <v>195</v>
      </c>
      <c r="D6740" t="s">
        <v>189</v>
      </c>
      <c r="E6740" t="s">
        <v>196</v>
      </c>
      <c r="F6740" t="s">
        <v>1214</v>
      </c>
      <c r="G6740" t="s">
        <v>1215</v>
      </c>
      <c r="H6740" t="s">
        <v>220</v>
      </c>
      <c r="I6740" t="s">
        <v>1216</v>
      </c>
      <c r="J6740" t="s">
        <v>1217</v>
      </c>
      <c r="K6740" t="s">
        <v>1218</v>
      </c>
      <c r="L6740" t="s">
        <v>215</v>
      </c>
      <c r="M6740" t="s">
        <v>1219</v>
      </c>
      <c r="N6740" t="s">
        <v>1220</v>
      </c>
    </row>
    <row r="6741" spans="1:14" x14ac:dyDescent="0.25">
      <c r="A6741" t="s">
        <v>198</v>
      </c>
      <c r="B6741" t="s">
        <v>228</v>
      </c>
      <c r="C6741">
        <v>33</v>
      </c>
      <c r="D6741" t="s">
        <v>197</v>
      </c>
      <c r="E6741">
        <v>2632</v>
      </c>
      <c r="F6741" s="1">
        <v>0.53300000000000003</v>
      </c>
      <c r="G6741" s="1">
        <v>0.1166</v>
      </c>
      <c r="H6741" s="1">
        <v>6.5500000000000003E-2</v>
      </c>
      <c r="I6741" s="1">
        <v>9.9299999999999999E-2</v>
      </c>
      <c r="J6741" s="1">
        <v>0.12820000000000001</v>
      </c>
      <c r="M6741" s="1">
        <v>3.1800000000000002E-2</v>
      </c>
      <c r="N6741" s="1">
        <v>2.5600000000000001E-2</v>
      </c>
    </row>
    <row r="6742" spans="1:14" x14ac:dyDescent="0.25">
      <c r="A6742" t="s">
        <v>198</v>
      </c>
      <c r="B6742" t="s">
        <v>229</v>
      </c>
      <c r="C6742">
        <v>49</v>
      </c>
      <c r="D6742" t="s">
        <v>197</v>
      </c>
      <c r="E6742">
        <v>2632</v>
      </c>
      <c r="F6742" s="1">
        <v>0.50609999999999999</v>
      </c>
      <c r="G6742" s="1">
        <v>0.33750000000000002</v>
      </c>
      <c r="H6742" s="1">
        <v>6.3E-2</v>
      </c>
      <c r="J6742" s="1">
        <v>9.3399999999999997E-2</v>
      </c>
    </row>
    <row r="6743" spans="1:14" x14ac:dyDescent="0.25">
      <c r="A6743" t="s">
        <v>198</v>
      </c>
      <c r="B6743" t="s">
        <v>228</v>
      </c>
      <c r="C6743">
        <v>145</v>
      </c>
      <c r="D6743" t="s">
        <v>199</v>
      </c>
      <c r="E6743">
        <v>2632</v>
      </c>
      <c r="F6743" s="1">
        <v>0.45369999999999999</v>
      </c>
      <c r="G6743" s="1">
        <v>0.19409999999999999</v>
      </c>
      <c r="H6743" s="1">
        <v>8.2699999999999996E-2</v>
      </c>
      <c r="I6743" s="1">
        <v>0.15010000000000001</v>
      </c>
      <c r="J6743" s="1">
        <v>9.9099999999999994E-2</v>
      </c>
      <c r="M6743" s="1">
        <v>5.7999999999999996E-3</v>
      </c>
      <c r="N6743" s="1">
        <v>1.4500000000000001E-2</v>
      </c>
    </row>
    <row r="6744" spans="1:14" x14ac:dyDescent="0.25">
      <c r="A6744" t="s">
        <v>198</v>
      </c>
      <c r="B6744" t="s">
        <v>229</v>
      </c>
      <c r="C6744">
        <v>213</v>
      </c>
      <c r="D6744" t="s">
        <v>199</v>
      </c>
      <c r="E6744">
        <v>2632</v>
      </c>
      <c r="F6744" s="1">
        <v>0.34739999999999999</v>
      </c>
      <c r="G6744" s="1">
        <v>0.37140000000000001</v>
      </c>
      <c r="H6744" s="1">
        <v>6.1000000000000004E-3</v>
      </c>
      <c r="I6744" s="1">
        <v>3.95E-2</v>
      </c>
      <c r="J6744" s="1">
        <v>0.15679999999999999</v>
      </c>
      <c r="M6744" s="1">
        <v>5.4300000000000001E-2</v>
      </c>
      <c r="N6744" s="1">
        <v>2.4500000000000001E-2</v>
      </c>
    </row>
    <row r="6745" spans="1:14" x14ac:dyDescent="0.25">
      <c r="A6745" t="s">
        <v>198</v>
      </c>
      <c r="B6745" t="s">
        <v>229</v>
      </c>
      <c r="C6745">
        <v>270</v>
      </c>
      <c r="D6745" t="s">
        <v>200</v>
      </c>
      <c r="E6745">
        <v>2632</v>
      </c>
      <c r="F6745" s="1">
        <v>0.49080000000000001</v>
      </c>
      <c r="G6745" s="1">
        <v>0.21579999999999999</v>
      </c>
      <c r="H6745" s="1">
        <v>3.44E-2</v>
      </c>
      <c r="I6745" s="1">
        <v>7.6499999999999999E-2</v>
      </c>
      <c r="J6745" s="1">
        <v>9.8299999999999998E-2</v>
      </c>
      <c r="M6745" s="1">
        <v>2.81E-2</v>
      </c>
      <c r="N6745" s="1">
        <v>5.62E-2</v>
      </c>
    </row>
    <row r="6746" spans="1:14" x14ac:dyDescent="0.25">
      <c r="A6746" t="s">
        <v>198</v>
      </c>
      <c r="B6746" t="s">
        <v>228</v>
      </c>
      <c r="C6746">
        <v>112</v>
      </c>
      <c r="D6746" t="s">
        <v>200</v>
      </c>
      <c r="E6746">
        <v>2632</v>
      </c>
      <c r="F6746" s="1">
        <v>0.37080000000000002</v>
      </c>
      <c r="G6746" s="1">
        <v>0.19950000000000001</v>
      </c>
      <c r="H6746" s="1">
        <v>4.1700000000000001E-2</v>
      </c>
      <c r="I6746" s="1">
        <v>0.1283</v>
      </c>
      <c r="J6746" s="1">
        <v>0.1527</v>
      </c>
      <c r="K6746" s="1">
        <v>1.9900000000000001E-2</v>
      </c>
      <c r="M6746" s="1">
        <v>2.2100000000000002E-2</v>
      </c>
      <c r="N6746" s="1">
        <v>6.5100000000000005E-2</v>
      </c>
    </row>
    <row r="6747" spans="1:14" x14ac:dyDescent="0.25">
      <c r="A6747" t="s">
        <v>198</v>
      </c>
      <c r="B6747" t="s">
        <v>228</v>
      </c>
      <c r="C6747">
        <v>95</v>
      </c>
      <c r="D6747" t="s">
        <v>201</v>
      </c>
      <c r="E6747">
        <v>2632</v>
      </c>
      <c r="F6747" s="1">
        <v>0.37609999999999999</v>
      </c>
      <c r="G6747" s="1">
        <v>0.2611</v>
      </c>
      <c r="H6747" s="1">
        <v>5.3999999999999999E-2</v>
      </c>
      <c r="I6747" s="1">
        <v>3.78E-2</v>
      </c>
      <c r="J6747" s="1">
        <v>0.2354</v>
      </c>
      <c r="M6747" s="1">
        <v>2.6800000000000001E-2</v>
      </c>
      <c r="N6747" s="1">
        <v>8.8000000000000005E-3</v>
      </c>
    </row>
    <row r="6748" spans="1:14" x14ac:dyDescent="0.25">
      <c r="A6748" t="s">
        <v>198</v>
      </c>
      <c r="B6748" t="s">
        <v>229</v>
      </c>
      <c r="C6748">
        <v>155</v>
      </c>
      <c r="D6748" t="s">
        <v>201</v>
      </c>
      <c r="E6748">
        <v>2632</v>
      </c>
      <c r="F6748" s="1">
        <v>0.4929</v>
      </c>
      <c r="G6748" s="1">
        <v>0.2482</v>
      </c>
      <c r="H6748" s="1">
        <v>2.9899999999999999E-2</v>
      </c>
      <c r="I6748" s="1">
        <v>1.49E-2</v>
      </c>
      <c r="J6748" s="1">
        <v>0.16550000000000001</v>
      </c>
      <c r="M6748" s="1">
        <v>6.3E-3</v>
      </c>
      <c r="N6748" s="1">
        <v>4.2299999999999997E-2</v>
      </c>
    </row>
    <row r="6749" spans="1:14" s="29" customFormat="1" x14ac:dyDescent="0.25">
      <c r="A6749" s="29" t="s">
        <v>198</v>
      </c>
      <c r="B6749" s="29" t="s">
        <v>228</v>
      </c>
      <c r="C6749" s="29">
        <v>28</v>
      </c>
      <c r="D6749" s="29" t="s">
        <v>202</v>
      </c>
      <c r="E6749" s="29">
        <v>2632</v>
      </c>
      <c r="F6749" s="30">
        <v>0.60970000000000002</v>
      </c>
      <c r="G6749" s="30">
        <v>0.25590000000000002</v>
      </c>
      <c r="J6749" s="30">
        <v>0.1237</v>
      </c>
      <c r="M6749" s="30">
        <v>1.0699999999999999E-2</v>
      </c>
    </row>
    <row r="6750" spans="1:14" x14ac:dyDescent="0.25">
      <c r="A6750" t="s">
        <v>198</v>
      </c>
      <c r="B6750" t="s">
        <v>229</v>
      </c>
      <c r="C6750">
        <v>68</v>
      </c>
      <c r="D6750" t="s">
        <v>202</v>
      </c>
      <c r="E6750">
        <v>2632</v>
      </c>
      <c r="F6750" s="1">
        <v>0.51319999999999999</v>
      </c>
      <c r="G6750" s="1">
        <v>0.29780000000000001</v>
      </c>
      <c r="I6750" s="1">
        <v>4.1200000000000001E-2</v>
      </c>
      <c r="J6750" s="1">
        <v>0.1148</v>
      </c>
      <c r="N6750" s="1">
        <v>3.3000000000000002E-2</v>
      </c>
    </row>
    <row r="6751" spans="1:14" x14ac:dyDescent="0.25">
      <c r="A6751" t="s">
        <v>203</v>
      </c>
      <c r="B6751" t="s">
        <v>229</v>
      </c>
      <c r="C6751">
        <v>370</v>
      </c>
      <c r="D6751" t="s">
        <v>199</v>
      </c>
      <c r="E6751">
        <v>2632</v>
      </c>
      <c r="F6751" s="1">
        <v>0.36270000000000002</v>
      </c>
      <c r="G6751" s="1">
        <v>0.18179999999999999</v>
      </c>
      <c r="H6751" s="1">
        <v>2.92E-2</v>
      </c>
      <c r="I6751" s="1">
        <v>0.2034</v>
      </c>
      <c r="J6751" s="1">
        <v>0.14019999999999999</v>
      </c>
      <c r="M6751" s="1">
        <v>7.0900000000000005E-2</v>
      </c>
      <c r="N6751" s="1">
        <v>1.18E-2</v>
      </c>
    </row>
    <row r="6752" spans="1:14" x14ac:dyDescent="0.25">
      <c r="A6752" t="s">
        <v>203</v>
      </c>
      <c r="B6752" t="s">
        <v>228</v>
      </c>
      <c r="C6752">
        <v>150</v>
      </c>
      <c r="D6752" t="s">
        <v>199</v>
      </c>
      <c r="E6752">
        <v>2632</v>
      </c>
      <c r="F6752" s="1">
        <v>0.26019999999999999</v>
      </c>
      <c r="G6752" s="1">
        <v>0.2324</v>
      </c>
      <c r="H6752" s="1">
        <v>7.4999999999999997E-3</v>
      </c>
      <c r="I6752" s="1">
        <v>0.15409999999999999</v>
      </c>
      <c r="J6752" s="1">
        <v>0.22919999999999999</v>
      </c>
      <c r="M6752" s="1">
        <v>0.1148</v>
      </c>
      <c r="N6752" s="1">
        <v>1.8E-3</v>
      </c>
    </row>
    <row r="6753" spans="1:14" x14ac:dyDescent="0.25">
      <c r="A6753" t="s">
        <v>203</v>
      </c>
      <c r="B6753" t="s">
        <v>229</v>
      </c>
      <c r="C6753">
        <v>346</v>
      </c>
      <c r="D6753" t="s">
        <v>200</v>
      </c>
      <c r="E6753">
        <v>2632</v>
      </c>
      <c r="F6753" s="1">
        <v>0.1431</v>
      </c>
      <c r="G6753" s="1">
        <v>0.1208</v>
      </c>
      <c r="H6753" s="1">
        <v>3.09E-2</v>
      </c>
      <c r="I6753" s="1">
        <v>0.52310000000000001</v>
      </c>
      <c r="J6753" s="1">
        <v>6.9500000000000006E-2</v>
      </c>
      <c r="L6753" s="1">
        <v>1.2800000000000001E-2</v>
      </c>
      <c r="M6753" s="1">
        <v>7.7200000000000005E-2</v>
      </c>
      <c r="N6753" s="1">
        <v>2.2599999999999999E-2</v>
      </c>
    </row>
    <row r="6754" spans="1:14" x14ac:dyDescent="0.25">
      <c r="A6754" t="s">
        <v>203</v>
      </c>
      <c r="B6754" t="s">
        <v>228</v>
      </c>
      <c r="C6754">
        <v>155</v>
      </c>
      <c r="D6754" t="s">
        <v>200</v>
      </c>
      <c r="E6754">
        <v>2632</v>
      </c>
      <c r="F6754" s="1">
        <v>0.158</v>
      </c>
      <c r="G6754" s="1">
        <v>0.16420000000000001</v>
      </c>
      <c r="H6754" s="1">
        <v>9.4000000000000004E-3</v>
      </c>
      <c r="I6754" s="1">
        <v>0.46739999999999998</v>
      </c>
      <c r="J6754" s="1">
        <v>8.1299999999999997E-2</v>
      </c>
      <c r="M6754" s="1">
        <v>0.1196</v>
      </c>
    </row>
    <row r="6755" spans="1:14" x14ac:dyDescent="0.25">
      <c r="A6755" t="s">
        <v>203</v>
      </c>
      <c r="B6755" t="s">
        <v>229</v>
      </c>
      <c r="C6755">
        <v>137</v>
      </c>
      <c r="D6755" t="s">
        <v>201</v>
      </c>
      <c r="E6755">
        <v>2632</v>
      </c>
      <c r="F6755" s="1">
        <v>0.31569999999999998</v>
      </c>
      <c r="G6755" s="1">
        <v>0.25119999999999998</v>
      </c>
      <c r="I6755" s="1">
        <v>0.1817</v>
      </c>
      <c r="J6755" s="1">
        <v>0.2271</v>
      </c>
      <c r="M6755" s="1">
        <v>1.3599999999999999E-2</v>
      </c>
      <c r="N6755" s="1">
        <v>1.0699999999999999E-2</v>
      </c>
    </row>
    <row r="6756" spans="1:14" x14ac:dyDescent="0.25">
      <c r="A6756" t="s">
        <v>203</v>
      </c>
      <c r="B6756" t="s">
        <v>228</v>
      </c>
      <c r="C6756">
        <v>177</v>
      </c>
      <c r="D6756" t="s">
        <v>201</v>
      </c>
      <c r="E6756">
        <v>2632</v>
      </c>
      <c r="F6756" s="1">
        <v>0.40350000000000003</v>
      </c>
      <c r="G6756" s="1">
        <v>0.26240000000000002</v>
      </c>
      <c r="H6756" s="1">
        <v>8.2000000000000007E-3</v>
      </c>
      <c r="I6756" s="1">
        <v>8.1500000000000003E-2</v>
      </c>
      <c r="J6756" s="1">
        <v>0.2011</v>
      </c>
      <c r="L6756" s="1">
        <v>8.0000000000000004E-4</v>
      </c>
      <c r="M6756" s="1">
        <v>4.0899999999999999E-2</v>
      </c>
      <c r="N6756" s="1">
        <v>1.6000000000000001E-3</v>
      </c>
    </row>
    <row r="6757" spans="1:14" x14ac:dyDescent="0.25">
      <c r="A6757" t="s">
        <v>203</v>
      </c>
      <c r="B6757" t="s">
        <v>228</v>
      </c>
      <c r="C6757">
        <v>34</v>
      </c>
      <c r="D6757" t="s">
        <v>202</v>
      </c>
      <c r="E6757">
        <v>2632</v>
      </c>
      <c r="F6757" s="1">
        <v>0.1036</v>
      </c>
      <c r="G6757" s="1">
        <v>0.39329999999999998</v>
      </c>
      <c r="H6757" s="1">
        <v>1.32E-2</v>
      </c>
      <c r="I6757" s="1">
        <v>0.26400000000000001</v>
      </c>
      <c r="J6757" s="1">
        <v>4.4200000000000003E-2</v>
      </c>
      <c r="M6757" s="1">
        <v>0.18160000000000001</v>
      </c>
    </row>
    <row r="6758" spans="1:14" x14ac:dyDescent="0.25">
      <c r="A6758" t="s">
        <v>203</v>
      </c>
      <c r="B6758" t="s">
        <v>229</v>
      </c>
      <c r="C6758">
        <v>56</v>
      </c>
      <c r="D6758" t="s">
        <v>202</v>
      </c>
      <c r="E6758">
        <v>2632</v>
      </c>
      <c r="F6758" s="1">
        <v>0.1072</v>
      </c>
      <c r="G6758" s="1">
        <v>0.16109999999999999</v>
      </c>
      <c r="H6758" s="1">
        <v>2.2499999999999999E-2</v>
      </c>
      <c r="I6758" s="1">
        <v>0.52700000000000002</v>
      </c>
      <c r="J6758" s="1">
        <v>0.11700000000000001</v>
      </c>
      <c r="M6758" s="1">
        <v>6.5299999999999997E-2</v>
      </c>
    </row>
    <row r="6759" spans="1:14" x14ac:dyDescent="0.25">
      <c r="A6759" t="s">
        <v>204</v>
      </c>
      <c r="B6759" t="s">
        <v>204</v>
      </c>
      <c r="C6759">
        <v>2632</v>
      </c>
      <c r="D6759" t="s">
        <v>204</v>
      </c>
      <c r="E6759">
        <v>2632</v>
      </c>
      <c r="F6759" s="1">
        <v>0.3266</v>
      </c>
      <c r="G6759" s="1">
        <v>0.2114</v>
      </c>
      <c r="H6759" s="1">
        <v>2.64E-2</v>
      </c>
      <c r="I6759" s="1">
        <v>0.24060000000000001</v>
      </c>
      <c r="J6759" s="1">
        <v>0.1167</v>
      </c>
      <c r="K6759" s="1">
        <v>5.9999999999999995E-4</v>
      </c>
      <c r="L6759" s="1">
        <v>3.2000000000000002E-3</v>
      </c>
      <c r="M6759" s="1">
        <v>5.2299999999999999E-2</v>
      </c>
      <c r="N6759" s="1">
        <v>2.2200000000000001E-2</v>
      </c>
    </row>
    <row r="6761" spans="1:14" x14ac:dyDescent="0.25">
      <c r="A6761" t="s">
        <v>1222</v>
      </c>
    </row>
    <row r="6762" spans="1:14" x14ac:dyDescent="0.25">
      <c r="A6762" t="s">
        <v>190</v>
      </c>
      <c r="B6762" t="s">
        <v>206</v>
      </c>
      <c r="C6762" t="s">
        <v>195</v>
      </c>
      <c r="D6762" t="s">
        <v>189</v>
      </c>
      <c r="E6762" t="s">
        <v>196</v>
      </c>
      <c r="F6762" t="s">
        <v>1214</v>
      </c>
      <c r="G6762" t="s">
        <v>1215</v>
      </c>
      <c r="H6762" t="s">
        <v>220</v>
      </c>
      <c r="I6762" t="s">
        <v>1216</v>
      </c>
      <c r="J6762" t="s">
        <v>1217</v>
      </c>
      <c r="K6762" t="s">
        <v>1218</v>
      </c>
      <c r="L6762" t="s">
        <v>215</v>
      </c>
      <c r="M6762" t="s">
        <v>1219</v>
      </c>
      <c r="N6762" t="s">
        <v>1220</v>
      </c>
    </row>
    <row r="6763" spans="1:14" x14ac:dyDescent="0.25">
      <c r="A6763" t="s">
        <v>198</v>
      </c>
      <c r="B6763" t="s">
        <v>348</v>
      </c>
      <c r="C6763">
        <v>79</v>
      </c>
      <c r="D6763" t="s">
        <v>197</v>
      </c>
      <c r="E6763">
        <v>2632</v>
      </c>
      <c r="F6763" s="1">
        <v>0.51259999999999994</v>
      </c>
      <c r="G6763" s="1">
        <v>0.23899999999999999</v>
      </c>
      <c r="H6763" s="1">
        <v>6.6299999999999998E-2</v>
      </c>
      <c r="I6763" s="1">
        <v>4.4299999999999999E-2</v>
      </c>
      <c r="J6763" s="1">
        <v>0.11219999999999999</v>
      </c>
      <c r="M6763" s="1">
        <v>1.4200000000000001E-2</v>
      </c>
      <c r="N6763" s="1">
        <v>1.14E-2</v>
      </c>
    </row>
    <row r="6764" spans="1:14" s="29" customFormat="1" x14ac:dyDescent="0.25">
      <c r="A6764" s="29" t="s">
        <v>198</v>
      </c>
      <c r="B6764" s="29" t="s">
        <v>349</v>
      </c>
      <c r="C6764" s="29">
        <v>3</v>
      </c>
      <c r="D6764" s="29" t="s">
        <v>197</v>
      </c>
      <c r="E6764" s="29">
        <v>2632</v>
      </c>
      <c r="F6764" s="30">
        <v>0.66669999999999996</v>
      </c>
      <c r="G6764" s="30">
        <v>0.33329999999999999</v>
      </c>
    </row>
    <row r="6765" spans="1:14" x14ac:dyDescent="0.25">
      <c r="A6765" t="s">
        <v>198</v>
      </c>
      <c r="B6765" t="s">
        <v>348</v>
      </c>
      <c r="C6765">
        <v>54</v>
      </c>
      <c r="D6765" t="s">
        <v>199</v>
      </c>
      <c r="E6765">
        <v>2632</v>
      </c>
      <c r="F6765" s="1">
        <v>0.13200000000000001</v>
      </c>
      <c r="G6765" s="1">
        <v>0.43569999999999998</v>
      </c>
      <c r="H6765" s="1">
        <v>1.32E-2</v>
      </c>
      <c r="I6765" s="1">
        <v>0.2215</v>
      </c>
      <c r="J6765" s="1">
        <v>0.1802</v>
      </c>
      <c r="M6765" s="1">
        <v>1.3599999999999999E-2</v>
      </c>
      <c r="N6765" s="1">
        <v>3.8E-3</v>
      </c>
    </row>
    <row r="6766" spans="1:14" x14ac:dyDescent="0.25">
      <c r="A6766" t="s">
        <v>198</v>
      </c>
      <c r="B6766" t="s">
        <v>349</v>
      </c>
      <c r="C6766">
        <v>111</v>
      </c>
      <c r="D6766" t="s">
        <v>199</v>
      </c>
      <c r="E6766">
        <v>2632</v>
      </c>
      <c r="F6766" s="1">
        <v>0.34710000000000002</v>
      </c>
      <c r="G6766" s="1">
        <v>0.35749999999999998</v>
      </c>
      <c r="H6766" s="1">
        <v>4.4200000000000003E-2</v>
      </c>
      <c r="I6766" s="1">
        <v>4.4600000000000001E-2</v>
      </c>
      <c r="J6766" s="1">
        <v>0.15390000000000001</v>
      </c>
      <c r="M6766" s="1">
        <v>4.6300000000000001E-2</v>
      </c>
      <c r="N6766" s="1">
        <v>6.4000000000000003E-3</v>
      </c>
    </row>
    <row r="6767" spans="1:14" x14ac:dyDescent="0.25">
      <c r="A6767" t="s">
        <v>198</v>
      </c>
      <c r="B6767" t="s">
        <v>350</v>
      </c>
      <c r="C6767">
        <v>193</v>
      </c>
      <c r="D6767" t="s">
        <v>199</v>
      </c>
      <c r="E6767">
        <v>2632</v>
      </c>
      <c r="F6767" s="1">
        <v>0.48880000000000001</v>
      </c>
      <c r="G6767" s="1">
        <v>0.25240000000000001</v>
      </c>
      <c r="H6767" s="1">
        <v>9.9000000000000008E-3</v>
      </c>
      <c r="I6767" s="1">
        <v>4.1799999999999997E-2</v>
      </c>
      <c r="J6767" s="1">
        <v>0.1154</v>
      </c>
      <c r="M6767" s="1">
        <v>4.6399999999999997E-2</v>
      </c>
      <c r="N6767" s="1">
        <v>4.5400000000000003E-2</v>
      </c>
    </row>
    <row r="6768" spans="1:14" x14ac:dyDescent="0.25">
      <c r="A6768" t="s">
        <v>198</v>
      </c>
      <c r="B6768" t="s">
        <v>350</v>
      </c>
      <c r="C6768">
        <v>78</v>
      </c>
      <c r="D6768" t="s">
        <v>200</v>
      </c>
      <c r="E6768">
        <v>2632</v>
      </c>
      <c r="F6768" s="1">
        <v>0.51270000000000004</v>
      </c>
      <c r="G6768" s="1">
        <v>0.2046</v>
      </c>
      <c r="H6768" s="1">
        <v>0.1118</v>
      </c>
      <c r="I6768" s="1">
        <v>9.9000000000000008E-3</v>
      </c>
      <c r="J6768" s="1">
        <v>0.1186</v>
      </c>
      <c r="M6768" s="1">
        <v>1.03E-2</v>
      </c>
      <c r="N6768" s="1">
        <v>3.2099999999999997E-2</v>
      </c>
    </row>
    <row r="6769" spans="1:14" x14ac:dyDescent="0.25">
      <c r="A6769" t="s">
        <v>198</v>
      </c>
      <c r="B6769" t="s">
        <v>348</v>
      </c>
      <c r="C6769">
        <v>242</v>
      </c>
      <c r="D6769" t="s">
        <v>200</v>
      </c>
      <c r="E6769">
        <v>2632</v>
      </c>
      <c r="F6769" s="1">
        <v>0.44359999999999999</v>
      </c>
      <c r="G6769" s="1">
        <v>0.21279999999999999</v>
      </c>
      <c r="H6769" s="1">
        <v>3.1300000000000001E-2</v>
      </c>
      <c r="I6769" s="1">
        <v>0.1002</v>
      </c>
      <c r="J6769" s="1">
        <v>0.1138</v>
      </c>
      <c r="K6769" s="1">
        <v>5.3E-3</v>
      </c>
      <c r="M6769" s="1">
        <v>2.8799999999999999E-2</v>
      </c>
      <c r="N6769" s="1">
        <v>6.4299999999999996E-2</v>
      </c>
    </row>
    <row r="6770" spans="1:14" x14ac:dyDescent="0.25">
      <c r="A6770" t="s">
        <v>198</v>
      </c>
      <c r="B6770" t="s">
        <v>349</v>
      </c>
      <c r="C6770">
        <v>62</v>
      </c>
      <c r="D6770" t="s">
        <v>200</v>
      </c>
      <c r="E6770">
        <v>2632</v>
      </c>
      <c r="F6770" s="1">
        <v>0.68859999999999999</v>
      </c>
      <c r="G6770" s="1">
        <v>0.20949999999999999</v>
      </c>
      <c r="H6770" s="1">
        <v>1.5900000000000001E-2</v>
      </c>
      <c r="I6770" s="1">
        <v>1.0800000000000001E-2</v>
      </c>
      <c r="J6770" s="1">
        <v>5.8900000000000001E-2</v>
      </c>
      <c r="M6770" s="1">
        <v>1.6199999999999999E-2</v>
      </c>
    </row>
    <row r="6771" spans="1:14" x14ac:dyDescent="0.25">
      <c r="A6771" t="s">
        <v>198</v>
      </c>
      <c r="B6771" t="s">
        <v>349</v>
      </c>
      <c r="C6771">
        <v>125</v>
      </c>
      <c r="D6771" t="s">
        <v>201</v>
      </c>
      <c r="E6771">
        <v>2632</v>
      </c>
      <c r="F6771" s="1">
        <v>0.505</v>
      </c>
      <c r="G6771" s="1">
        <v>0.25140000000000001</v>
      </c>
      <c r="H6771" s="1">
        <v>3.8399999999999997E-2</v>
      </c>
      <c r="I6771" s="1">
        <v>1.4500000000000001E-2</v>
      </c>
      <c r="J6771" s="1">
        <v>0.13589999999999999</v>
      </c>
      <c r="M6771" s="1">
        <v>8.3000000000000001E-3</v>
      </c>
      <c r="N6771" s="1">
        <v>4.6399999999999997E-2</v>
      </c>
    </row>
    <row r="6772" spans="1:14" x14ac:dyDescent="0.25">
      <c r="A6772" t="s">
        <v>198</v>
      </c>
      <c r="B6772" t="s">
        <v>350</v>
      </c>
      <c r="C6772">
        <v>63</v>
      </c>
      <c r="D6772" t="s">
        <v>201</v>
      </c>
      <c r="E6772">
        <v>2632</v>
      </c>
      <c r="F6772" s="1">
        <v>0.55759999999999998</v>
      </c>
      <c r="G6772" s="1">
        <v>0.19919999999999999</v>
      </c>
      <c r="H6772" s="1">
        <v>9.9199999999999997E-2</v>
      </c>
      <c r="I6772" s="1">
        <v>1.47E-2</v>
      </c>
      <c r="J6772" s="1">
        <v>9.2999999999999999E-2</v>
      </c>
      <c r="N6772" s="1">
        <v>3.6299999999999999E-2</v>
      </c>
    </row>
    <row r="6773" spans="1:14" x14ac:dyDescent="0.25">
      <c r="A6773" t="s">
        <v>198</v>
      </c>
      <c r="B6773" t="s">
        <v>348</v>
      </c>
      <c r="C6773">
        <v>62</v>
      </c>
      <c r="D6773" t="s">
        <v>201</v>
      </c>
      <c r="E6773">
        <v>2632</v>
      </c>
      <c r="F6773" s="1">
        <v>0.35270000000000001</v>
      </c>
      <c r="G6773" s="1">
        <v>0.25919999999999999</v>
      </c>
      <c r="H6773" s="1">
        <v>1.47E-2</v>
      </c>
      <c r="I6773" s="1">
        <v>3.4700000000000002E-2</v>
      </c>
      <c r="J6773" s="1">
        <v>0.31469999999999998</v>
      </c>
      <c r="M6773" s="1">
        <v>1.9099999999999999E-2</v>
      </c>
      <c r="N6773" s="1">
        <v>4.7999999999999996E-3</v>
      </c>
    </row>
    <row r="6774" spans="1:14" x14ac:dyDescent="0.25">
      <c r="A6774" t="s">
        <v>198</v>
      </c>
      <c r="B6774" t="s">
        <v>348</v>
      </c>
      <c r="C6774">
        <v>96</v>
      </c>
      <c r="D6774" t="s">
        <v>202</v>
      </c>
      <c r="E6774">
        <v>2632</v>
      </c>
      <c r="F6774" s="1">
        <v>0.53600000000000003</v>
      </c>
      <c r="G6774" s="1">
        <v>0.28789999999999999</v>
      </c>
      <c r="I6774" s="1">
        <v>3.1399999999999997E-2</v>
      </c>
      <c r="J6774" s="1">
        <v>0.1169</v>
      </c>
      <c r="M6774" s="1">
        <v>2.5000000000000001E-3</v>
      </c>
      <c r="N6774" s="1">
        <v>2.52E-2</v>
      </c>
    </row>
    <row r="6775" spans="1:14" x14ac:dyDescent="0.25">
      <c r="A6775" t="s">
        <v>203</v>
      </c>
      <c r="B6775" t="s">
        <v>349</v>
      </c>
      <c r="C6775">
        <v>171</v>
      </c>
      <c r="D6775" t="s">
        <v>199</v>
      </c>
      <c r="E6775">
        <v>2632</v>
      </c>
      <c r="F6775" s="1">
        <v>0.40960000000000002</v>
      </c>
      <c r="G6775" s="1">
        <v>0.16370000000000001</v>
      </c>
      <c r="H6775" s="1">
        <v>1.1900000000000001E-2</v>
      </c>
      <c r="I6775" s="1">
        <v>0.1288</v>
      </c>
      <c r="J6775" s="1">
        <v>0.22370000000000001</v>
      </c>
      <c r="M6775" s="1">
        <v>6.2199999999999998E-2</v>
      </c>
    </row>
    <row r="6776" spans="1:14" x14ac:dyDescent="0.25">
      <c r="A6776" t="s">
        <v>203</v>
      </c>
      <c r="B6776" t="s">
        <v>348</v>
      </c>
      <c r="C6776">
        <v>42</v>
      </c>
      <c r="D6776" t="s">
        <v>199</v>
      </c>
      <c r="E6776">
        <v>2632</v>
      </c>
      <c r="F6776" s="1">
        <v>0.1234</v>
      </c>
      <c r="G6776" s="1">
        <v>0.3745</v>
      </c>
      <c r="H6776" s="1">
        <v>0.01</v>
      </c>
      <c r="I6776" s="1">
        <v>0.28129999999999999</v>
      </c>
      <c r="J6776" s="1">
        <v>0.16400000000000001</v>
      </c>
      <c r="M6776" s="1">
        <v>3.6799999999999999E-2</v>
      </c>
      <c r="N6776" s="1">
        <v>0.01</v>
      </c>
    </row>
    <row r="6777" spans="1:14" x14ac:dyDescent="0.25">
      <c r="A6777" t="s">
        <v>203</v>
      </c>
      <c r="B6777" t="s">
        <v>350</v>
      </c>
      <c r="C6777">
        <v>307</v>
      </c>
      <c r="D6777" t="s">
        <v>199</v>
      </c>
      <c r="E6777">
        <v>2632</v>
      </c>
      <c r="F6777" s="1">
        <v>0.33750000000000002</v>
      </c>
      <c r="G6777" s="1">
        <v>0.1867</v>
      </c>
      <c r="H6777" s="1">
        <v>3.5799999999999998E-2</v>
      </c>
      <c r="I6777" s="1">
        <v>0.22819999999999999</v>
      </c>
      <c r="J6777" s="1">
        <v>0.11070000000000001</v>
      </c>
      <c r="M6777" s="1">
        <v>8.4900000000000003E-2</v>
      </c>
      <c r="N6777" s="1">
        <v>1.6299999999999999E-2</v>
      </c>
    </row>
    <row r="6778" spans="1:14" x14ac:dyDescent="0.25">
      <c r="A6778" t="s">
        <v>203</v>
      </c>
      <c r="B6778" t="s">
        <v>348</v>
      </c>
      <c r="C6778">
        <v>300</v>
      </c>
      <c r="D6778" t="s">
        <v>200</v>
      </c>
      <c r="E6778">
        <v>2632</v>
      </c>
      <c r="F6778" s="1">
        <v>0.112</v>
      </c>
      <c r="G6778" s="1">
        <v>0.12280000000000001</v>
      </c>
      <c r="H6778" s="1">
        <v>2.46E-2</v>
      </c>
      <c r="I6778" s="1">
        <v>0.55869999999999997</v>
      </c>
      <c r="J6778" s="1">
        <v>6.6000000000000003E-2</v>
      </c>
      <c r="L6778" s="1">
        <v>1.03E-2</v>
      </c>
      <c r="M6778" s="1">
        <v>8.5099999999999995E-2</v>
      </c>
      <c r="N6778" s="1">
        <v>2.06E-2</v>
      </c>
    </row>
    <row r="6779" spans="1:14" x14ac:dyDescent="0.25">
      <c r="A6779" t="s">
        <v>203</v>
      </c>
      <c r="B6779" t="s">
        <v>349</v>
      </c>
      <c r="C6779">
        <v>108</v>
      </c>
      <c r="D6779" t="s">
        <v>200</v>
      </c>
      <c r="E6779">
        <v>2632</v>
      </c>
      <c r="F6779" s="1">
        <v>0.40500000000000003</v>
      </c>
      <c r="G6779" s="1">
        <v>0.2127</v>
      </c>
      <c r="H6779" s="1">
        <v>3.3700000000000001E-2</v>
      </c>
      <c r="I6779" s="1">
        <v>0.13</v>
      </c>
      <c r="J6779" s="1">
        <v>0.11169999999999999</v>
      </c>
      <c r="L6779" s="1">
        <v>1.5299999999999999E-2</v>
      </c>
      <c r="M6779" s="1">
        <v>9.1700000000000004E-2</v>
      </c>
    </row>
    <row r="6780" spans="1:14" x14ac:dyDescent="0.25">
      <c r="A6780" t="s">
        <v>203</v>
      </c>
      <c r="B6780" t="s">
        <v>350</v>
      </c>
      <c r="C6780">
        <v>93</v>
      </c>
      <c r="D6780" t="s">
        <v>200</v>
      </c>
      <c r="E6780">
        <v>2632</v>
      </c>
      <c r="F6780" s="1">
        <v>0.43269999999999997</v>
      </c>
      <c r="G6780" s="1">
        <v>9.8799999999999999E-2</v>
      </c>
      <c r="H6780" s="1">
        <v>6.6299999999999998E-2</v>
      </c>
      <c r="I6780" s="1">
        <v>0.192</v>
      </c>
      <c r="J6780" s="1">
        <v>0.13150000000000001</v>
      </c>
      <c r="M6780" s="1">
        <v>7.8600000000000003E-2</v>
      </c>
    </row>
    <row r="6781" spans="1:14" x14ac:dyDescent="0.25">
      <c r="A6781" t="s">
        <v>203</v>
      </c>
      <c r="B6781" t="s">
        <v>348</v>
      </c>
      <c r="C6781">
        <v>62</v>
      </c>
      <c r="D6781" t="s">
        <v>201</v>
      </c>
      <c r="E6781">
        <v>2632</v>
      </c>
      <c r="F6781" s="1">
        <v>0.24179999999999999</v>
      </c>
      <c r="G6781" s="1">
        <v>0.23449999999999999</v>
      </c>
      <c r="I6781" s="1">
        <v>0.255</v>
      </c>
      <c r="J6781" s="1">
        <v>0.2452</v>
      </c>
      <c r="M6781" s="1">
        <v>2.35E-2</v>
      </c>
    </row>
    <row r="6782" spans="1:14" x14ac:dyDescent="0.25">
      <c r="A6782" t="s">
        <v>203</v>
      </c>
      <c r="B6782" t="s">
        <v>349</v>
      </c>
      <c r="C6782">
        <v>147</v>
      </c>
      <c r="D6782" t="s">
        <v>201</v>
      </c>
      <c r="E6782">
        <v>2632</v>
      </c>
      <c r="F6782" s="1">
        <v>0.33250000000000002</v>
      </c>
      <c r="G6782" s="1">
        <v>0.26140000000000002</v>
      </c>
      <c r="I6782" s="1">
        <v>0.1542</v>
      </c>
      <c r="J6782" s="1">
        <v>0.223</v>
      </c>
      <c r="L6782" s="1">
        <v>2.0000000000000001E-4</v>
      </c>
      <c r="M6782" s="1">
        <v>0.02</v>
      </c>
      <c r="N6782" s="1">
        <v>8.8000000000000005E-3</v>
      </c>
    </row>
    <row r="6783" spans="1:14" x14ac:dyDescent="0.25">
      <c r="A6783" t="s">
        <v>203</v>
      </c>
      <c r="B6783" t="s">
        <v>350</v>
      </c>
      <c r="C6783">
        <v>105</v>
      </c>
      <c r="D6783" t="s">
        <v>201</v>
      </c>
      <c r="E6783">
        <v>2632</v>
      </c>
      <c r="F6783" s="1">
        <v>0.53110000000000002</v>
      </c>
      <c r="G6783" s="1">
        <v>0.1978</v>
      </c>
      <c r="H6783" s="1">
        <v>2.7199999999999998E-2</v>
      </c>
      <c r="I6783" s="1">
        <v>4.87E-2</v>
      </c>
      <c r="J6783" s="1">
        <v>0.15989999999999999</v>
      </c>
      <c r="M6783" s="1">
        <v>1.6199999999999999E-2</v>
      </c>
      <c r="N6783" s="1">
        <v>1.9E-2</v>
      </c>
    </row>
    <row r="6784" spans="1:14" x14ac:dyDescent="0.25">
      <c r="A6784" t="s">
        <v>203</v>
      </c>
      <c r="B6784" t="s">
        <v>348</v>
      </c>
      <c r="C6784">
        <v>90</v>
      </c>
      <c r="D6784" t="s">
        <v>202</v>
      </c>
      <c r="E6784">
        <v>2632</v>
      </c>
      <c r="F6784" s="1">
        <v>0.1062</v>
      </c>
      <c r="G6784" s="1">
        <v>0.22670000000000001</v>
      </c>
      <c r="H6784" s="1">
        <v>1.9900000000000001E-2</v>
      </c>
      <c r="I6784" s="1">
        <v>0.4526</v>
      </c>
      <c r="J6784" s="1">
        <v>9.64E-2</v>
      </c>
      <c r="M6784" s="1">
        <v>9.8199999999999996E-2</v>
      </c>
    </row>
    <row r="6785" spans="1:14" x14ac:dyDescent="0.25">
      <c r="A6785" t="s">
        <v>204</v>
      </c>
      <c r="B6785" t="s">
        <v>204</v>
      </c>
      <c r="C6785">
        <v>2632</v>
      </c>
      <c r="D6785" t="s">
        <v>204</v>
      </c>
      <c r="E6785">
        <v>2632</v>
      </c>
      <c r="F6785" s="1">
        <v>0.3266</v>
      </c>
      <c r="G6785" s="1">
        <v>0.2114</v>
      </c>
      <c r="H6785" s="1">
        <v>2.64E-2</v>
      </c>
      <c r="I6785" s="1">
        <v>0.24060000000000001</v>
      </c>
      <c r="J6785" s="1">
        <v>0.1167</v>
      </c>
      <c r="K6785" s="1">
        <v>5.9999999999999995E-4</v>
      </c>
      <c r="L6785" s="1">
        <v>3.2000000000000002E-3</v>
      </c>
      <c r="M6785" s="1">
        <v>5.2299999999999999E-2</v>
      </c>
      <c r="N6785" s="1">
        <v>2.2200000000000001E-2</v>
      </c>
    </row>
    <row r="6787" spans="1:14" x14ac:dyDescent="0.25">
      <c r="A6787" t="s">
        <v>1223</v>
      </c>
    </row>
    <row r="6788" spans="1:14" x14ac:dyDescent="0.25">
      <c r="A6788" t="s">
        <v>189</v>
      </c>
      <c r="B6788" t="s">
        <v>190</v>
      </c>
      <c r="C6788" t="s">
        <v>754</v>
      </c>
      <c r="D6788" t="s">
        <v>1224</v>
      </c>
      <c r="E6788" t="s">
        <v>1225</v>
      </c>
      <c r="F6788" t="s">
        <v>1226</v>
      </c>
      <c r="G6788" t="s">
        <v>1227</v>
      </c>
      <c r="H6788" t="s">
        <v>1228</v>
      </c>
      <c r="I6788" t="s">
        <v>765</v>
      </c>
      <c r="J6788" t="s">
        <v>195</v>
      </c>
      <c r="K6788" t="s">
        <v>196</v>
      </c>
    </row>
    <row r="6789" spans="1:14" s="29" customFormat="1" x14ac:dyDescent="0.25">
      <c r="A6789" s="29" t="s">
        <v>197</v>
      </c>
      <c r="B6789" s="29" t="s">
        <v>198</v>
      </c>
      <c r="C6789" s="29" t="s">
        <v>220</v>
      </c>
      <c r="D6789" s="30">
        <v>0.10929999999999999</v>
      </c>
      <c r="E6789" s="30">
        <v>3.1099999999999999E-2</v>
      </c>
      <c r="H6789" s="30">
        <v>0.16769999999999999</v>
      </c>
      <c r="I6789" s="29">
        <v>12</v>
      </c>
      <c r="J6789" s="29">
        <v>7</v>
      </c>
      <c r="K6789" s="29">
        <v>170</v>
      </c>
    </row>
    <row r="6790" spans="1:14" s="29" customFormat="1" x14ac:dyDescent="0.25">
      <c r="A6790" s="29" t="s">
        <v>197</v>
      </c>
      <c r="B6790" s="29" t="s">
        <v>198</v>
      </c>
      <c r="C6790" s="29" t="s">
        <v>1229</v>
      </c>
      <c r="D6790" s="30">
        <v>0.4194</v>
      </c>
      <c r="E6790" s="30">
        <v>0.42920000000000003</v>
      </c>
      <c r="F6790" s="30">
        <v>0.6996</v>
      </c>
      <c r="G6790" s="30">
        <v>1</v>
      </c>
      <c r="H6790" s="30">
        <v>0.67830000000000001</v>
      </c>
      <c r="I6790" s="29">
        <v>12</v>
      </c>
      <c r="J6790" s="29">
        <v>7</v>
      </c>
      <c r="K6790" s="29">
        <v>170</v>
      </c>
    </row>
    <row r="6791" spans="1:14" s="29" customFormat="1" x14ac:dyDescent="0.25">
      <c r="A6791" s="29" t="s">
        <v>197</v>
      </c>
      <c r="B6791" s="29" t="s">
        <v>198</v>
      </c>
      <c r="C6791" s="29" t="s">
        <v>1230</v>
      </c>
      <c r="D6791" s="30">
        <v>0.4713</v>
      </c>
      <c r="E6791" s="30">
        <v>0.53979999999999995</v>
      </c>
      <c r="F6791" s="30">
        <v>0.3004</v>
      </c>
      <c r="H6791" s="30">
        <v>0.154</v>
      </c>
      <c r="I6791" s="29">
        <v>12</v>
      </c>
      <c r="J6791" s="29">
        <v>7</v>
      </c>
      <c r="K6791" s="29">
        <v>170</v>
      </c>
    </row>
    <row r="6792" spans="1:14" x14ac:dyDescent="0.25">
      <c r="A6792" t="s">
        <v>199</v>
      </c>
      <c r="B6792" t="s">
        <v>198</v>
      </c>
      <c r="C6792" t="s">
        <v>1229</v>
      </c>
      <c r="D6792" s="1">
        <v>0.56130000000000002</v>
      </c>
      <c r="E6792" s="1">
        <v>0.20369999999999999</v>
      </c>
      <c r="F6792" s="1">
        <v>0.26729999999999998</v>
      </c>
      <c r="G6792" s="1">
        <v>0.29730000000000001</v>
      </c>
      <c r="H6792" s="1">
        <v>0.31109999999999999</v>
      </c>
      <c r="I6792">
        <v>20</v>
      </c>
      <c r="J6792">
        <v>34</v>
      </c>
      <c r="K6792">
        <v>170</v>
      </c>
    </row>
    <row r="6793" spans="1:14" x14ac:dyDescent="0.25">
      <c r="A6793" t="s">
        <v>199</v>
      </c>
      <c r="B6793" t="s">
        <v>198</v>
      </c>
      <c r="C6793" t="s">
        <v>1230</v>
      </c>
      <c r="D6793" s="1">
        <v>0.40689999999999998</v>
      </c>
      <c r="E6793" s="1">
        <v>0.78990000000000005</v>
      </c>
      <c r="F6793" s="1">
        <v>0.73270000000000002</v>
      </c>
      <c r="G6793" s="1">
        <v>0.16220000000000001</v>
      </c>
      <c r="H6793" s="1">
        <v>0.68889999999999996</v>
      </c>
      <c r="I6793">
        <v>20</v>
      </c>
      <c r="J6793">
        <v>34</v>
      </c>
      <c r="K6793">
        <v>170</v>
      </c>
    </row>
    <row r="6794" spans="1:14" x14ac:dyDescent="0.25">
      <c r="A6794" t="s">
        <v>199</v>
      </c>
      <c r="B6794" t="s">
        <v>198</v>
      </c>
      <c r="C6794" t="s">
        <v>1231</v>
      </c>
      <c r="D6794" s="1">
        <v>3.1800000000000002E-2</v>
      </c>
      <c r="G6794" s="1">
        <v>0.54049999999999998</v>
      </c>
      <c r="I6794">
        <v>20</v>
      </c>
      <c r="J6794">
        <v>34</v>
      </c>
      <c r="K6794">
        <v>170</v>
      </c>
    </row>
    <row r="6795" spans="1:14" s="29" customFormat="1" x14ac:dyDescent="0.25">
      <c r="A6795" s="29" t="s">
        <v>200</v>
      </c>
      <c r="B6795" s="29" t="s">
        <v>198</v>
      </c>
      <c r="C6795" s="29" t="s">
        <v>220</v>
      </c>
      <c r="D6795" s="30">
        <v>4.1599999999999998E-2</v>
      </c>
      <c r="I6795" s="29">
        <v>14</v>
      </c>
      <c r="J6795" s="29">
        <v>21</v>
      </c>
      <c r="K6795" s="29">
        <v>170</v>
      </c>
    </row>
    <row r="6796" spans="1:14" s="29" customFormat="1" x14ac:dyDescent="0.25">
      <c r="A6796" s="29" t="s">
        <v>200</v>
      </c>
      <c r="B6796" s="29" t="s">
        <v>198</v>
      </c>
      <c r="C6796" s="29" t="s">
        <v>1229</v>
      </c>
      <c r="D6796" s="30">
        <v>0.3478</v>
      </c>
      <c r="E6796" s="30">
        <v>0.3402</v>
      </c>
      <c r="F6796" s="30">
        <v>0.39040000000000002</v>
      </c>
      <c r="G6796" s="30">
        <v>0.33250000000000002</v>
      </c>
      <c r="H6796" s="30">
        <v>0.35639999999999999</v>
      </c>
      <c r="I6796" s="29">
        <v>14</v>
      </c>
      <c r="J6796" s="29">
        <v>21</v>
      </c>
      <c r="K6796" s="29">
        <v>170</v>
      </c>
    </row>
    <row r="6797" spans="1:14" s="29" customFormat="1" x14ac:dyDescent="0.25">
      <c r="A6797" s="29" t="s">
        <v>200</v>
      </c>
      <c r="B6797" s="29" t="s">
        <v>198</v>
      </c>
      <c r="C6797" s="29" t="s">
        <v>1230</v>
      </c>
      <c r="D6797" s="30">
        <v>0.50029999999999997</v>
      </c>
      <c r="E6797" s="30">
        <v>0.65980000000000005</v>
      </c>
      <c r="F6797" s="30">
        <v>0.56110000000000004</v>
      </c>
      <c r="G6797" s="30">
        <v>0.2341</v>
      </c>
      <c r="H6797" s="30">
        <v>0.64359999999999995</v>
      </c>
      <c r="I6797" s="29">
        <v>14</v>
      </c>
      <c r="J6797" s="29">
        <v>21</v>
      </c>
      <c r="K6797" s="29">
        <v>170</v>
      </c>
    </row>
    <row r="6798" spans="1:14" s="29" customFormat="1" x14ac:dyDescent="0.25">
      <c r="A6798" s="29" t="s">
        <v>200</v>
      </c>
      <c r="B6798" s="29" t="s">
        <v>198</v>
      </c>
      <c r="C6798" s="29" t="s">
        <v>1231</v>
      </c>
      <c r="D6798" s="30">
        <v>0.1103</v>
      </c>
      <c r="F6798" s="30">
        <v>4.8500000000000001E-2</v>
      </c>
      <c r="G6798" s="30">
        <v>0.43340000000000001</v>
      </c>
      <c r="I6798" s="29">
        <v>14</v>
      </c>
      <c r="J6798" s="29">
        <v>21</v>
      </c>
      <c r="K6798" s="29">
        <v>170</v>
      </c>
    </row>
    <row r="6799" spans="1:14" s="29" customFormat="1" x14ac:dyDescent="0.25">
      <c r="A6799" s="29" t="s">
        <v>201</v>
      </c>
      <c r="B6799" s="29" t="s">
        <v>198</v>
      </c>
      <c r="C6799" s="29" t="s">
        <v>215</v>
      </c>
      <c r="D6799" s="30">
        <v>5.1999999999999998E-3</v>
      </c>
      <c r="I6799" s="29">
        <v>16</v>
      </c>
      <c r="J6799" s="29">
        <v>28</v>
      </c>
      <c r="K6799" s="29">
        <v>170</v>
      </c>
    </row>
    <row r="6800" spans="1:14" s="29" customFormat="1" x14ac:dyDescent="0.25">
      <c r="A6800" s="29" t="s">
        <v>201</v>
      </c>
      <c r="B6800" s="29" t="s">
        <v>198</v>
      </c>
      <c r="C6800" s="29" t="s">
        <v>1229</v>
      </c>
      <c r="D6800" s="30">
        <v>7.1800000000000003E-2</v>
      </c>
      <c r="E6800" s="30">
        <v>0.23430000000000001</v>
      </c>
      <c r="F6800" s="30">
        <v>0.58189999999999997</v>
      </c>
      <c r="G6800" s="30">
        <v>0.32879999999999998</v>
      </c>
      <c r="H6800" s="30">
        <v>0.55820000000000003</v>
      </c>
      <c r="I6800" s="29">
        <v>16</v>
      </c>
      <c r="J6800" s="29">
        <v>28</v>
      </c>
      <c r="K6800" s="29">
        <v>170</v>
      </c>
    </row>
    <row r="6801" spans="1:11" s="29" customFormat="1" x14ac:dyDescent="0.25">
      <c r="A6801" s="29" t="s">
        <v>201</v>
      </c>
      <c r="B6801" s="29" t="s">
        <v>198</v>
      </c>
      <c r="C6801" s="29" t="s">
        <v>1230</v>
      </c>
      <c r="D6801" s="30">
        <v>0.86339999999999995</v>
      </c>
      <c r="E6801" s="30">
        <v>0.76570000000000005</v>
      </c>
      <c r="F6801" s="30">
        <v>0.41810000000000003</v>
      </c>
      <c r="G6801" s="30">
        <v>0.13919999999999999</v>
      </c>
      <c r="H6801" s="30">
        <v>0.42209999999999998</v>
      </c>
      <c r="I6801" s="29">
        <v>16</v>
      </c>
      <c r="J6801" s="29">
        <v>28</v>
      </c>
      <c r="K6801" s="29">
        <v>170</v>
      </c>
    </row>
    <row r="6802" spans="1:11" s="29" customFormat="1" x14ac:dyDescent="0.25">
      <c r="A6802" s="29" t="s">
        <v>201</v>
      </c>
      <c r="B6802" s="29" t="s">
        <v>198</v>
      </c>
      <c r="C6802" s="29" t="s">
        <v>1231</v>
      </c>
      <c r="D6802" s="30">
        <v>5.9700000000000003E-2</v>
      </c>
      <c r="G6802" s="30">
        <v>0.52149999999999996</v>
      </c>
      <c r="H6802" s="30">
        <v>1.9599999999999999E-2</v>
      </c>
      <c r="I6802" s="29">
        <v>16</v>
      </c>
      <c r="J6802" s="29">
        <v>28</v>
      </c>
      <c r="K6802" s="29">
        <v>170</v>
      </c>
    </row>
    <row r="6803" spans="1:11" s="29" customFormat="1" x14ac:dyDescent="0.25">
      <c r="A6803" s="29" t="s">
        <v>202</v>
      </c>
      <c r="B6803" s="29" t="s">
        <v>198</v>
      </c>
      <c r="C6803" s="29" t="s">
        <v>1229</v>
      </c>
      <c r="D6803" s="30">
        <v>0.55079999999999996</v>
      </c>
      <c r="E6803" s="30">
        <v>2.81E-2</v>
      </c>
      <c r="F6803" s="30">
        <v>0.44369999999999998</v>
      </c>
      <c r="G6803" s="30">
        <v>1</v>
      </c>
      <c r="I6803" s="29">
        <v>30</v>
      </c>
      <c r="J6803" s="29">
        <v>8</v>
      </c>
      <c r="K6803" s="29">
        <v>170</v>
      </c>
    </row>
    <row r="6804" spans="1:11" s="29" customFormat="1" x14ac:dyDescent="0.25">
      <c r="A6804" s="29" t="s">
        <v>202</v>
      </c>
      <c r="B6804" s="29" t="s">
        <v>198</v>
      </c>
      <c r="C6804" s="29" t="s">
        <v>1230</v>
      </c>
      <c r="D6804" s="30">
        <v>0.44919999999999999</v>
      </c>
      <c r="E6804" s="30">
        <v>0.97189999999999999</v>
      </c>
      <c r="F6804" s="30">
        <v>0.55630000000000002</v>
      </c>
      <c r="H6804" s="30">
        <v>1</v>
      </c>
      <c r="I6804" s="29">
        <v>30</v>
      </c>
      <c r="J6804" s="29">
        <v>8</v>
      </c>
      <c r="K6804" s="29">
        <v>170</v>
      </c>
    </row>
    <row r="6805" spans="1:11" x14ac:dyDescent="0.25">
      <c r="A6805" t="s">
        <v>199</v>
      </c>
      <c r="B6805" t="s">
        <v>203</v>
      </c>
      <c r="C6805" t="s">
        <v>1229</v>
      </c>
      <c r="D6805" s="1">
        <v>0.31130000000000002</v>
      </c>
      <c r="E6805" s="1">
        <v>0.32619999999999999</v>
      </c>
      <c r="F6805" s="1">
        <v>0.52090000000000003</v>
      </c>
      <c r="G6805" s="1">
        <v>3.3599999999999998E-2</v>
      </c>
      <c r="H6805" s="1">
        <v>0.20080000000000001</v>
      </c>
      <c r="I6805">
        <v>20</v>
      </c>
      <c r="J6805">
        <v>37</v>
      </c>
      <c r="K6805">
        <v>170</v>
      </c>
    </row>
    <row r="6806" spans="1:11" x14ac:dyDescent="0.25">
      <c r="A6806" t="s">
        <v>199</v>
      </c>
      <c r="B6806" t="s">
        <v>203</v>
      </c>
      <c r="C6806" t="s">
        <v>1230</v>
      </c>
      <c r="D6806" s="1">
        <v>0.68869999999999998</v>
      </c>
      <c r="E6806" s="1">
        <v>0.58150000000000002</v>
      </c>
      <c r="F6806" s="1">
        <v>0.46260000000000001</v>
      </c>
      <c r="G6806" s="1">
        <v>0.1401</v>
      </c>
      <c r="H6806" s="1">
        <v>0.79649999999999999</v>
      </c>
      <c r="I6806">
        <v>20</v>
      </c>
      <c r="J6806">
        <v>37</v>
      </c>
      <c r="K6806">
        <v>170</v>
      </c>
    </row>
    <row r="6807" spans="1:11" s="29" customFormat="1" x14ac:dyDescent="0.25">
      <c r="A6807" s="29" t="s">
        <v>200</v>
      </c>
      <c r="B6807" s="29" t="s">
        <v>203</v>
      </c>
      <c r="C6807" s="29" t="s">
        <v>1229</v>
      </c>
      <c r="D6807" s="30">
        <v>0.54710000000000003</v>
      </c>
      <c r="E6807" s="30">
        <v>4.2799999999999998E-2</v>
      </c>
      <c r="F6807" s="30">
        <v>0.1048</v>
      </c>
      <c r="G6807" s="30">
        <v>0.27039999999999997</v>
      </c>
      <c r="H6807" s="30">
        <v>0.1353</v>
      </c>
      <c r="I6807" s="29">
        <v>8</v>
      </c>
      <c r="J6807" s="29">
        <v>11</v>
      </c>
      <c r="K6807" s="29">
        <v>170</v>
      </c>
    </row>
    <row r="6808" spans="1:11" s="29" customFormat="1" x14ac:dyDescent="0.25">
      <c r="A6808" s="29" t="s">
        <v>200</v>
      </c>
      <c r="B6808" s="29" t="s">
        <v>203</v>
      </c>
      <c r="C6808" s="29" t="s">
        <v>1230</v>
      </c>
      <c r="D6808" s="30">
        <v>0.45290000000000002</v>
      </c>
      <c r="E6808" s="30">
        <v>0.95509999999999995</v>
      </c>
      <c r="F6808" s="30">
        <v>0.8952</v>
      </c>
      <c r="H6808" s="30">
        <v>0.86470000000000002</v>
      </c>
      <c r="I6808" s="29">
        <v>8</v>
      </c>
      <c r="J6808" s="29">
        <v>11</v>
      </c>
      <c r="K6808" s="29">
        <v>170</v>
      </c>
    </row>
    <row r="6809" spans="1:11" s="29" customFormat="1" x14ac:dyDescent="0.25">
      <c r="A6809" s="29" t="s">
        <v>201</v>
      </c>
      <c r="B6809" s="29" t="s">
        <v>203</v>
      </c>
      <c r="C6809" s="29" t="s">
        <v>1229</v>
      </c>
      <c r="D6809" s="30">
        <v>0.35289999999999999</v>
      </c>
      <c r="E6809" s="30">
        <v>0.31180000000000002</v>
      </c>
      <c r="F6809" s="30">
        <v>0.59599999999999997</v>
      </c>
      <c r="G6809" s="30">
        <v>0.25590000000000002</v>
      </c>
      <c r="H6809" s="30">
        <v>0.221</v>
      </c>
      <c r="I6809" s="29">
        <v>7</v>
      </c>
      <c r="J6809" s="29">
        <v>22</v>
      </c>
      <c r="K6809" s="29">
        <v>170</v>
      </c>
    </row>
    <row r="6810" spans="1:11" s="29" customFormat="1" x14ac:dyDescent="0.25">
      <c r="A6810" s="29" t="s">
        <v>201</v>
      </c>
      <c r="B6810" s="29" t="s">
        <v>203</v>
      </c>
      <c r="C6810" s="29" t="s">
        <v>1230</v>
      </c>
      <c r="D6810" s="30">
        <v>0.64710000000000001</v>
      </c>
      <c r="E6810" s="30">
        <v>0.68820000000000003</v>
      </c>
      <c r="F6810" s="30">
        <v>0.40400000000000003</v>
      </c>
      <c r="G6810" s="30">
        <v>0.1067</v>
      </c>
      <c r="H6810" s="30">
        <v>0.75290000000000001</v>
      </c>
      <c r="I6810" s="29">
        <v>7</v>
      </c>
      <c r="J6810" s="29">
        <v>22</v>
      </c>
      <c r="K6810" s="29">
        <v>170</v>
      </c>
    </row>
    <row r="6811" spans="1:11" s="29" customFormat="1" x14ac:dyDescent="0.25">
      <c r="A6811" s="29" t="s">
        <v>202</v>
      </c>
      <c r="B6811" s="29" t="s">
        <v>203</v>
      </c>
      <c r="C6811" s="29" t="s">
        <v>1230</v>
      </c>
      <c r="D6811" s="30">
        <v>1</v>
      </c>
      <c r="E6811" s="30">
        <v>1</v>
      </c>
      <c r="F6811" s="30">
        <v>1</v>
      </c>
      <c r="H6811" s="30">
        <v>0.73839999999999995</v>
      </c>
      <c r="I6811" s="29">
        <v>1</v>
      </c>
      <c r="J6811" s="29">
        <v>2</v>
      </c>
      <c r="K6811" s="29">
        <v>170</v>
      </c>
    </row>
    <row r="6812" spans="1:11" x14ac:dyDescent="0.25">
      <c r="A6812" t="s">
        <v>204</v>
      </c>
      <c r="B6812" t="s">
        <v>204</v>
      </c>
      <c r="C6812" t="s">
        <v>220</v>
      </c>
      <c r="D6812" s="1">
        <v>1.44E-2</v>
      </c>
      <c r="E6812" s="1">
        <v>1.78E-2</v>
      </c>
      <c r="F6812" s="1">
        <v>8.9999999999999998E-4</v>
      </c>
      <c r="G6812" s="1">
        <v>4.5999999999999999E-3</v>
      </c>
      <c r="H6812" s="1">
        <v>2.9100000000000001E-2</v>
      </c>
      <c r="I6812">
        <v>170</v>
      </c>
      <c r="J6812">
        <v>170</v>
      </c>
      <c r="K6812">
        <v>170</v>
      </c>
    </row>
    <row r="6813" spans="1:11" x14ac:dyDescent="0.25">
      <c r="A6813" t="s">
        <v>204</v>
      </c>
      <c r="B6813" t="s">
        <v>204</v>
      </c>
      <c r="C6813" t="s">
        <v>215</v>
      </c>
      <c r="D6813" s="1">
        <v>5.9999999999999995E-4</v>
      </c>
      <c r="I6813">
        <v>170</v>
      </c>
      <c r="J6813">
        <v>170</v>
      </c>
      <c r="K6813">
        <v>170</v>
      </c>
    </row>
    <row r="6814" spans="1:11" x14ac:dyDescent="0.25">
      <c r="A6814" t="s">
        <v>204</v>
      </c>
      <c r="B6814" t="s">
        <v>204</v>
      </c>
      <c r="C6814" t="s">
        <v>1229</v>
      </c>
      <c r="D6814" s="1">
        <v>0.40610000000000002</v>
      </c>
      <c r="E6814" s="1">
        <v>0.25219999999999998</v>
      </c>
      <c r="F6814" s="1">
        <v>0.43769999999999998</v>
      </c>
      <c r="G6814" s="1">
        <v>0.37619999999999998</v>
      </c>
      <c r="H6814" s="1">
        <v>0.3271</v>
      </c>
      <c r="I6814">
        <v>170</v>
      </c>
      <c r="J6814">
        <v>170</v>
      </c>
      <c r="K6814">
        <v>170</v>
      </c>
    </row>
    <row r="6815" spans="1:11" x14ac:dyDescent="0.25">
      <c r="A6815" t="s">
        <v>204</v>
      </c>
      <c r="B6815" t="s">
        <v>204</v>
      </c>
      <c r="C6815" t="s">
        <v>1230</v>
      </c>
      <c r="D6815" s="1">
        <v>0.55449999999999999</v>
      </c>
      <c r="E6815" s="1">
        <v>0.73009999999999997</v>
      </c>
      <c r="F6815" s="1">
        <v>0.55289999999999995</v>
      </c>
      <c r="G6815" s="1">
        <v>0.1052</v>
      </c>
      <c r="H6815" s="1">
        <v>0.63870000000000005</v>
      </c>
      <c r="I6815">
        <v>170</v>
      </c>
      <c r="J6815">
        <v>170</v>
      </c>
      <c r="K6815">
        <v>170</v>
      </c>
    </row>
    <row r="6816" spans="1:11" x14ac:dyDescent="0.25">
      <c r="A6816" t="s">
        <v>204</v>
      </c>
      <c r="B6816" t="s">
        <v>204</v>
      </c>
      <c r="C6816" t="s">
        <v>1231</v>
      </c>
      <c r="D6816" s="1">
        <v>2.4299999999999999E-2</v>
      </c>
      <c r="F6816" s="1">
        <v>8.5000000000000006E-3</v>
      </c>
      <c r="G6816" s="1">
        <v>0.5141</v>
      </c>
      <c r="H6816" s="1">
        <v>5.1000000000000004E-3</v>
      </c>
      <c r="I6816">
        <v>170</v>
      </c>
      <c r="J6816">
        <v>170</v>
      </c>
      <c r="K6816">
        <v>170</v>
      </c>
    </row>
    <row r="6818" spans="1:13" x14ac:dyDescent="0.25">
      <c r="A6818" t="s">
        <v>1232</v>
      </c>
    </row>
    <row r="6819" spans="1:13" x14ac:dyDescent="0.25">
      <c r="A6819" t="s">
        <v>190</v>
      </c>
      <c r="B6819" t="s">
        <v>195</v>
      </c>
      <c r="C6819" t="s">
        <v>189</v>
      </c>
      <c r="D6819" t="s">
        <v>196</v>
      </c>
      <c r="E6819" t="s">
        <v>1233</v>
      </c>
      <c r="F6819" t="s">
        <v>1234</v>
      </c>
      <c r="G6819" t="s">
        <v>1235</v>
      </c>
      <c r="H6819" t="s">
        <v>220</v>
      </c>
      <c r="I6819" t="s">
        <v>1236</v>
      </c>
      <c r="J6819" t="s">
        <v>1237</v>
      </c>
      <c r="K6819" t="s">
        <v>1238</v>
      </c>
      <c r="L6819" t="s">
        <v>215</v>
      </c>
    </row>
    <row r="6820" spans="1:13" x14ac:dyDescent="0.25">
      <c r="A6820" t="s">
        <v>198</v>
      </c>
      <c r="B6820">
        <v>82</v>
      </c>
      <c r="C6820" t="s">
        <v>197</v>
      </c>
      <c r="D6820">
        <v>2632</v>
      </c>
      <c r="E6820" s="1">
        <v>0.17460000000000001</v>
      </c>
      <c r="F6820" s="1">
        <v>0.14879999999999999</v>
      </c>
      <c r="G6820" s="1">
        <v>0.1105</v>
      </c>
      <c r="H6820" s="1">
        <v>1.38E-2</v>
      </c>
      <c r="I6820" s="1">
        <v>0.1837</v>
      </c>
      <c r="J6820" s="1">
        <v>0.29749999999999999</v>
      </c>
      <c r="K6820" s="1">
        <v>7.1199999999999999E-2</v>
      </c>
    </row>
    <row r="6821" spans="1:13" x14ac:dyDescent="0.25">
      <c r="A6821" t="s">
        <v>198</v>
      </c>
      <c r="B6821">
        <v>368</v>
      </c>
      <c r="C6821" t="s">
        <v>199</v>
      </c>
      <c r="D6821">
        <v>2632</v>
      </c>
      <c r="E6821" s="1">
        <v>0.25690000000000002</v>
      </c>
      <c r="F6821" s="1">
        <v>0.1545</v>
      </c>
      <c r="G6821" s="1">
        <v>0.16880000000000001</v>
      </c>
      <c r="H6821" s="1">
        <v>4.0000000000000001E-3</v>
      </c>
      <c r="I6821" s="1">
        <v>0.23649999999999999</v>
      </c>
      <c r="J6821" s="1">
        <v>0.12889999999999999</v>
      </c>
      <c r="K6821" s="1">
        <v>5.04E-2</v>
      </c>
    </row>
    <row r="6822" spans="1:13" x14ac:dyDescent="0.25">
      <c r="A6822" t="s">
        <v>198</v>
      </c>
      <c r="B6822">
        <v>387</v>
      </c>
      <c r="C6822" t="s">
        <v>200</v>
      </c>
      <c r="D6822">
        <v>2632</v>
      </c>
      <c r="E6822" s="1">
        <v>0.1759</v>
      </c>
      <c r="F6822" s="1">
        <v>0.13469999999999999</v>
      </c>
      <c r="G6822" s="1">
        <v>9.4500000000000001E-2</v>
      </c>
      <c r="H6822" s="1">
        <v>1.78E-2</v>
      </c>
      <c r="I6822" s="1">
        <v>0.16719999999999999</v>
      </c>
      <c r="J6822" s="1">
        <v>0.31690000000000002</v>
      </c>
      <c r="K6822" s="1">
        <v>9.2999999999999999E-2</v>
      </c>
    </row>
    <row r="6823" spans="1:13" x14ac:dyDescent="0.25">
      <c r="A6823" t="s">
        <v>198</v>
      </c>
      <c r="B6823">
        <v>255</v>
      </c>
      <c r="C6823" t="s">
        <v>201</v>
      </c>
      <c r="D6823">
        <v>2632</v>
      </c>
      <c r="E6823" s="1">
        <v>0.2384</v>
      </c>
      <c r="F6823" s="1">
        <v>0.2079</v>
      </c>
      <c r="G6823" s="1">
        <v>6.8199999999999997E-2</v>
      </c>
      <c r="H6823" s="1">
        <v>3.8999999999999998E-3</v>
      </c>
      <c r="I6823" s="1">
        <v>0.23910000000000001</v>
      </c>
      <c r="J6823" s="1">
        <v>0.1429</v>
      </c>
      <c r="K6823" s="1">
        <v>9.9599999999999994E-2</v>
      </c>
    </row>
    <row r="6824" spans="1:13" x14ac:dyDescent="0.25">
      <c r="A6824" t="s">
        <v>198</v>
      </c>
      <c r="B6824">
        <v>96</v>
      </c>
      <c r="C6824" t="s">
        <v>202</v>
      </c>
      <c r="D6824">
        <v>2632</v>
      </c>
      <c r="E6824" s="1">
        <v>0.16880000000000001</v>
      </c>
      <c r="F6824" s="1">
        <v>0.27500000000000002</v>
      </c>
      <c r="G6824" s="1">
        <v>0.10680000000000001</v>
      </c>
      <c r="I6824" s="1">
        <v>0.1852</v>
      </c>
      <c r="J6824" s="1">
        <v>0.17630000000000001</v>
      </c>
      <c r="K6824" s="1">
        <v>7.8399999999999997E-2</v>
      </c>
      <c r="L6824" s="1">
        <v>9.4999999999999998E-3</v>
      </c>
    </row>
    <row r="6825" spans="1:13" x14ac:dyDescent="0.25">
      <c r="A6825" t="s">
        <v>203</v>
      </c>
      <c r="B6825">
        <v>530</v>
      </c>
      <c r="C6825" t="s">
        <v>199</v>
      </c>
      <c r="D6825">
        <v>2632</v>
      </c>
      <c r="E6825" s="1">
        <v>9.2100000000000001E-2</v>
      </c>
      <c r="F6825" s="1">
        <v>9.06E-2</v>
      </c>
      <c r="G6825" s="1">
        <v>6.5100000000000005E-2</v>
      </c>
      <c r="H6825" s="1">
        <v>5.0000000000000001E-4</v>
      </c>
      <c r="I6825" s="1">
        <v>0.1082</v>
      </c>
      <c r="J6825" s="1">
        <v>0.29060000000000002</v>
      </c>
      <c r="K6825" s="1">
        <v>0.35289999999999999</v>
      </c>
    </row>
    <row r="6826" spans="1:13" x14ac:dyDescent="0.25">
      <c r="A6826" t="s">
        <v>203</v>
      </c>
      <c r="B6826">
        <v>503</v>
      </c>
      <c r="C6826" t="s">
        <v>200</v>
      </c>
      <c r="D6826">
        <v>2632</v>
      </c>
      <c r="E6826" s="1">
        <v>3.2899999999999999E-2</v>
      </c>
      <c r="F6826" s="1">
        <v>2.5399999999999999E-2</v>
      </c>
      <c r="G6826" s="1">
        <v>2.46E-2</v>
      </c>
      <c r="H6826" s="1">
        <v>1.8E-3</v>
      </c>
      <c r="I6826" s="1">
        <v>3.0999999999999999E-3</v>
      </c>
      <c r="J6826" s="1">
        <v>0.3664</v>
      </c>
      <c r="K6826" s="1">
        <v>0.54469999999999996</v>
      </c>
      <c r="L6826" s="1">
        <v>1.1999999999999999E-3</v>
      </c>
    </row>
    <row r="6827" spans="1:13" x14ac:dyDescent="0.25">
      <c r="A6827" t="s">
        <v>203</v>
      </c>
      <c r="B6827">
        <v>321</v>
      </c>
      <c r="C6827" t="s">
        <v>201</v>
      </c>
      <c r="D6827">
        <v>2632</v>
      </c>
      <c r="E6827" s="1">
        <v>9.69E-2</v>
      </c>
      <c r="F6827" s="1">
        <v>6.8400000000000002E-2</v>
      </c>
      <c r="G6827" s="1">
        <v>7.0599999999999996E-2</v>
      </c>
      <c r="H6827" s="1">
        <v>1.5100000000000001E-2</v>
      </c>
      <c r="I6827" s="1">
        <v>9.4899999999999998E-2</v>
      </c>
      <c r="J6827" s="1">
        <v>0.38250000000000001</v>
      </c>
      <c r="K6827" s="1">
        <v>0.2646</v>
      </c>
      <c r="L6827" s="1">
        <v>7.0000000000000001E-3</v>
      </c>
    </row>
    <row r="6828" spans="1:13" x14ac:dyDescent="0.25">
      <c r="A6828" t="s">
        <v>203</v>
      </c>
      <c r="B6828">
        <v>90</v>
      </c>
      <c r="C6828" t="s">
        <v>202</v>
      </c>
      <c r="D6828">
        <v>2632</v>
      </c>
      <c r="E6828" s="1">
        <v>1.9900000000000001E-2</v>
      </c>
      <c r="F6828" s="1">
        <v>4.2299999999999997E-2</v>
      </c>
      <c r="G6828" s="1">
        <v>1.6799999999999999E-2</v>
      </c>
      <c r="J6828" s="1">
        <v>0.1094</v>
      </c>
      <c r="K6828" s="1">
        <v>0.81159999999999999</v>
      </c>
    </row>
    <row r="6829" spans="1:13" x14ac:dyDescent="0.25">
      <c r="A6829" t="s">
        <v>204</v>
      </c>
      <c r="B6829">
        <v>2632</v>
      </c>
      <c r="C6829" t="s">
        <v>204</v>
      </c>
      <c r="D6829">
        <v>2632</v>
      </c>
      <c r="E6829" s="1">
        <v>0.1212</v>
      </c>
      <c r="F6829" s="1">
        <v>0.10730000000000001</v>
      </c>
      <c r="G6829" s="1">
        <v>7.4300000000000005E-2</v>
      </c>
      <c r="H6829" s="1">
        <v>5.3E-3</v>
      </c>
      <c r="I6829" s="1">
        <v>0.1116</v>
      </c>
      <c r="J6829" s="1">
        <v>0.27539999999999998</v>
      </c>
      <c r="K6829" s="1">
        <v>0.30330000000000001</v>
      </c>
      <c r="L6829" s="1">
        <v>1.6999999999999999E-3</v>
      </c>
    </row>
    <row r="6831" spans="1:13" x14ac:dyDescent="0.25">
      <c r="A6831" t="s">
        <v>1239</v>
      </c>
    </row>
    <row r="6832" spans="1:13" x14ac:dyDescent="0.25">
      <c r="A6832" t="s">
        <v>190</v>
      </c>
      <c r="B6832" t="s">
        <v>206</v>
      </c>
      <c r="C6832" t="s">
        <v>195</v>
      </c>
      <c r="D6832" t="s">
        <v>189</v>
      </c>
      <c r="E6832" t="s">
        <v>196</v>
      </c>
      <c r="F6832" t="s">
        <v>1233</v>
      </c>
      <c r="G6832" t="s">
        <v>1234</v>
      </c>
      <c r="H6832" t="s">
        <v>1235</v>
      </c>
      <c r="I6832" t="s">
        <v>220</v>
      </c>
      <c r="J6832" t="s">
        <v>1236</v>
      </c>
      <c r="K6832" t="s">
        <v>1237</v>
      </c>
      <c r="L6832" t="s">
        <v>1238</v>
      </c>
      <c r="M6832" t="s">
        <v>215</v>
      </c>
    </row>
    <row r="6833" spans="1:13" x14ac:dyDescent="0.25">
      <c r="A6833" t="s">
        <v>198</v>
      </c>
      <c r="B6833" t="s">
        <v>228</v>
      </c>
      <c r="C6833">
        <v>33</v>
      </c>
      <c r="D6833" t="s">
        <v>197</v>
      </c>
      <c r="E6833">
        <v>2632</v>
      </c>
      <c r="F6833" s="1">
        <v>0.15759999999999999</v>
      </c>
      <c r="G6833" s="1">
        <v>7.6700000000000004E-2</v>
      </c>
      <c r="H6833" s="1">
        <v>7.3700000000000002E-2</v>
      </c>
      <c r="J6833" s="1">
        <v>0.1484</v>
      </c>
      <c r="K6833" s="1">
        <v>0.3962</v>
      </c>
      <c r="L6833" s="1">
        <v>0.14749999999999999</v>
      </c>
    </row>
    <row r="6834" spans="1:13" x14ac:dyDescent="0.25">
      <c r="A6834" t="s">
        <v>198</v>
      </c>
      <c r="B6834" t="s">
        <v>229</v>
      </c>
      <c r="C6834">
        <v>49</v>
      </c>
      <c r="D6834" t="s">
        <v>197</v>
      </c>
      <c r="E6834">
        <v>2632</v>
      </c>
      <c r="F6834" s="1">
        <v>0.18759999999999999</v>
      </c>
      <c r="G6834" s="1">
        <v>0.20369999999999999</v>
      </c>
      <c r="H6834" s="1">
        <v>0.1384</v>
      </c>
      <c r="I6834" s="1">
        <v>2.4199999999999999E-2</v>
      </c>
      <c r="J6834" s="1">
        <v>0.2104</v>
      </c>
      <c r="K6834" s="1">
        <v>0.22239999999999999</v>
      </c>
      <c r="L6834" s="1">
        <v>1.32E-2</v>
      </c>
    </row>
    <row r="6835" spans="1:13" x14ac:dyDescent="0.25">
      <c r="A6835" t="s">
        <v>198</v>
      </c>
      <c r="B6835" t="s">
        <v>228</v>
      </c>
      <c r="C6835">
        <v>145</v>
      </c>
      <c r="D6835" t="s">
        <v>199</v>
      </c>
      <c r="E6835">
        <v>2632</v>
      </c>
      <c r="F6835" s="1">
        <v>0.14269999999999999</v>
      </c>
      <c r="G6835" s="1">
        <v>4.5199999999999997E-2</v>
      </c>
      <c r="H6835" s="1">
        <v>0.2099</v>
      </c>
      <c r="J6835" s="1">
        <v>0.29770000000000002</v>
      </c>
      <c r="K6835" s="1">
        <v>0.2019</v>
      </c>
      <c r="L6835" s="1">
        <v>0.1026</v>
      </c>
    </row>
    <row r="6836" spans="1:13" x14ac:dyDescent="0.25">
      <c r="A6836" t="s">
        <v>198</v>
      </c>
      <c r="B6836" t="s">
        <v>229</v>
      </c>
      <c r="C6836">
        <v>213</v>
      </c>
      <c r="D6836" t="s">
        <v>199</v>
      </c>
      <c r="E6836">
        <v>2632</v>
      </c>
      <c r="F6836" s="1">
        <v>0.29759999999999998</v>
      </c>
      <c r="G6836" s="1">
        <v>0.1928</v>
      </c>
      <c r="H6836" s="1">
        <v>0.15379999999999999</v>
      </c>
      <c r="I6836" s="1">
        <v>5.4000000000000003E-3</v>
      </c>
      <c r="J6836" s="1">
        <v>0.21440000000000001</v>
      </c>
      <c r="K6836" s="1">
        <v>0.1032</v>
      </c>
      <c r="L6836" s="1">
        <v>3.27E-2</v>
      </c>
    </row>
    <row r="6837" spans="1:13" x14ac:dyDescent="0.25">
      <c r="A6837" t="s">
        <v>198</v>
      </c>
      <c r="B6837" t="s">
        <v>229</v>
      </c>
      <c r="C6837">
        <v>270</v>
      </c>
      <c r="D6837" t="s">
        <v>200</v>
      </c>
      <c r="E6837">
        <v>2632</v>
      </c>
      <c r="F6837" s="1">
        <v>0.20130000000000001</v>
      </c>
      <c r="G6837" s="1">
        <v>0.1368</v>
      </c>
      <c r="H6837" s="1">
        <v>9.7600000000000006E-2</v>
      </c>
      <c r="I6837" s="1">
        <v>1.21E-2</v>
      </c>
      <c r="J6837" s="1">
        <v>0.17519999999999999</v>
      </c>
      <c r="K6837" s="1">
        <v>0.30280000000000001</v>
      </c>
      <c r="L6837" s="1">
        <v>7.4200000000000002E-2</v>
      </c>
    </row>
    <row r="6838" spans="1:13" x14ac:dyDescent="0.25">
      <c r="A6838" t="s">
        <v>198</v>
      </c>
      <c r="B6838" t="s">
        <v>228</v>
      </c>
      <c r="C6838">
        <v>112</v>
      </c>
      <c r="D6838" t="s">
        <v>200</v>
      </c>
      <c r="E6838">
        <v>2632</v>
      </c>
      <c r="F6838" s="1">
        <v>9.74E-2</v>
      </c>
      <c r="G6838" s="1">
        <v>0.1318</v>
      </c>
      <c r="H6838" s="1">
        <v>8.6599999999999996E-2</v>
      </c>
      <c r="I6838" s="1">
        <v>2.7300000000000001E-2</v>
      </c>
      <c r="J6838" s="1">
        <v>0.1459</v>
      </c>
      <c r="K6838" s="1">
        <v>0.35320000000000001</v>
      </c>
      <c r="L6838" s="1">
        <v>0.15770000000000001</v>
      </c>
    </row>
    <row r="6839" spans="1:13" x14ac:dyDescent="0.25">
      <c r="A6839" t="s">
        <v>198</v>
      </c>
      <c r="B6839" t="s">
        <v>228</v>
      </c>
      <c r="C6839">
        <v>94</v>
      </c>
      <c r="D6839" t="s">
        <v>201</v>
      </c>
      <c r="E6839">
        <v>2632</v>
      </c>
      <c r="F6839" s="1">
        <v>0.22090000000000001</v>
      </c>
      <c r="G6839" s="1">
        <v>0.219</v>
      </c>
      <c r="H6839" s="1">
        <v>3.6400000000000002E-2</v>
      </c>
      <c r="J6839" s="1">
        <v>0.21329999999999999</v>
      </c>
      <c r="K6839" s="1">
        <v>0.1825</v>
      </c>
      <c r="L6839" s="1">
        <v>0.1278</v>
      </c>
    </row>
    <row r="6840" spans="1:13" x14ac:dyDescent="0.25">
      <c r="A6840" t="s">
        <v>198</v>
      </c>
      <c r="B6840" t="s">
        <v>229</v>
      </c>
      <c r="C6840">
        <v>155</v>
      </c>
      <c r="D6840" t="s">
        <v>201</v>
      </c>
      <c r="E6840">
        <v>2632</v>
      </c>
      <c r="F6840" s="1">
        <v>0.23499999999999999</v>
      </c>
      <c r="G6840" s="1">
        <v>0.20760000000000001</v>
      </c>
      <c r="H6840" s="1">
        <v>7.7799999999999994E-2</v>
      </c>
      <c r="I6840" s="1">
        <v>4.5999999999999999E-3</v>
      </c>
      <c r="J6840" s="1">
        <v>0.24779999999999999</v>
      </c>
      <c r="K6840" s="1">
        <v>0.13400000000000001</v>
      </c>
      <c r="L6840" s="1">
        <v>9.3299999999999994E-2</v>
      </c>
    </row>
    <row r="6841" spans="1:13" s="29" customFormat="1" x14ac:dyDescent="0.25">
      <c r="A6841" s="29" t="s">
        <v>198</v>
      </c>
      <c r="B6841" s="29" t="s">
        <v>228</v>
      </c>
      <c r="C6841" s="29">
        <v>28</v>
      </c>
      <c r="D6841" s="29" t="s">
        <v>202</v>
      </c>
      <c r="E6841" s="29">
        <v>2632</v>
      </c>
      <c r="F6841" s="30">
        <v>0.2175</v>
      </c>
      <c r="G6841" s="30">
        <v>0.29730000000000001</v>
      </c>
      <c r="H6841" s="30">
        <v>0.22589999999999999</v>
      </c>
      <c r="J6841" s="30">
        <v>0.13170000000000001</v>
      </c>
      <c r="K6841" s="30">
        <v>8.7499999999999994E-2</v>
      </c>
      <c r="L6841" s="30">
        <v>4.0099999999999997E-2</v>
      </c>
    </row>
    <row r="6842" spans="1:13" x14ac:dyDescent="0.25">
      <c r="A6842" t="s">
        <v>198</v>
      </c>
      <c r="B6842" t="s">
        <v>229</v>
      </c>
      <c r="C6842">
        <v>68</v>
      </c>
      <c r="D6842" t="s">
        <v>202</v>
      </c>
      <c r="E6842">
        <v>2632</v>
      </c>
      <c r="F6842" s="1">
        <v>0.1537</v>
      </c>
      <c r="G6842" s="1">
        <v>0.2681</v>
      </c>
      <c r="H6842" s="1">
        <v>6.9900000000000004E-2</v>
      </c>
      <c r="J6842" s="1">
        <v>0.20180000000000001</v>
      </c>
      <c r="K6842" s="1">
        <v>0.20380000000000001</v>
      </c>
      <c r="L6842" s="1">
        <v>9.0300000000000005E-2</v>
      </c>
      <c r="M6842" s="1">
        <v>1.24E-2</v>
      </c>
    </row>
    <row r="6843" spans="1:13" x14ac:dyDescent="0.25">
      <c r="A6843" t="s">
        <v>203</v>
      </c>
      <c r="B6843" t="s">
        <v>229</v>
      </c>
      <c r="C6843">
        <v>370</v>
      </c>
      <c r="D6843" t="s">
        <v>199</v>
      </c>
      <c r="E6843">
        <v>2632</v>
      </c>
      <c r="F6843" s="1">
        <v>7.9799999999999996E-2</v>
      </c>
      <c r="G6843" s="1">
        <v>8.4199999999999997E-2</v>
      </c>
      <c r="H6843" s="1">
        <v>6.8599999999999994E-2</v>
      </c>
      <c r="I6843" s="1">
        <v>5.9999999999999995E-4</v>
      </c>
      <c r="J6843" s="1">
        <v>8.0600000000000005E-2</v>
      </c>
      <c r="K6843" s="1">
        <v>0.30730000000000002</v>
      </c>
      <c r="L6843" s="1">
        <v>0.379</v>
      </c>
    </row>
    <row r="6844" spans="1:13" x14ac:dyDescent="0.25">
      <c r="A6844" t="s">
        <v>203</v>
      </c>
      <c r="B6844" t="s">
        <v>228</v>
      </c>
      <c r="C6844">
        <v>150</v>
      </c>
      <c r="D6844" t="s">
        <v>199</v>
      </c>
      <c r="E6844">
        <v>2632</v>
      </c>
      <c r="F6844" s="1">
        <v>0.19589999999999999</v>
      </c>
      <c r="G6844" s="1">
        <v>0.1489</v>
      </c>
      <c r="H6844" s="1">
        <v>3.3799999999999997E-2</v>
      </c>
      <c r="J6844" s="1">
        <v>0.32950000000000002</v>
      </c>
      <c r="K6844" s="1">
        <v>0.16089999999999999</v>
      </c>
      <c r="L6844" s="1">
        <v>0.13100000000000001</v>
      </c>
    </row>
    <row r="6845" spans="1:13" x14ac:dyDescent="0.25">
      <c r="A6845" t="s">
        <v>203</v>
      </c>
      <c r="B6845" t="s">
        <v>229</v>
      </c>
      <c r="C6845">
        <v>347</v>
      </c>
      <c r="D6845" t="s">
        <v>200</v>
      </c>
      <c r="E6845">
        <v>2632</v>
      </c>
      <c r="F6845" s="1">
        <v>3.04E-2</v>
      </c>
      <c r="G6845" s="1">
        <v>2.3900000000000001E-2</v>
      </c>
      <c r="H6845" s="1">
        <v>2.1399999999999999E-2</v>
      </c>
      <c r="I6845" s="1">
        <v>2.3E-3</v>
      </c>
      <c r="J6845" s="1">
        <v>2E-3</v>
      </c>
      <c r="K6845" s="1">
        <v>0.3619</v>
      </c>
      <c r="L6845" s="1">
        <v>0.55659999999999998</v>
      </c>
      <c r="M6845" s="1">
        <v>1.5E-3</v>
      </c>
    </row>
    <row r="6846" spans="1:13" x14ac:dyDescent="0.25">
      <c r="A6846" t="s">
        <v>203</v>
      </c>
      <c r="B6846" t="s">
        <v>228</v>
      </c>
      <c r="C6846">
        <v>155</v>
      </c>
      <c r="D6846" t="s">
        <v>200</v>
      </c>
      <c r="E6846">
        <v>2632</v>
      </c>
      <c r="F6846" s="1">
        <v>4.3099999999999999E-2</v>
      </c>
      <c r="G6846" s="1">
        <v>3.1699999999999999E-2</v>
      </c>
      <c r="H6846" s="1">
        <v>3.7900000000000003E-2</v>
      </c>
      <c r="J6846" s="1">
        <v>7.6E-3</v>
      </c>
      <c r="K6846" s="1">
        <v>0.38469999999999999</v>
      </c>
      <c r="L6846" s="1">
        <v>0.495</v>
      </c>
    </row>
    <row r="6847" spans="1:13" x14ac:dyDescent="0.25">
      <c r="A6847" t="s">
        <v>203</v>
      </c>
      <c r="B6847" t="s">
        <v>229</v>
      </c>
      <c r="C6847">
        <v>137</v>
      </c>
      <c r="D6847" t="s">
        <v>201</v>
      </c>
      <c r="E6847">
        <v>2632</v>
      </c>
      <c r="F6847" s="1">
        <v>7.7100000000000002E-2</v>
      </c>
      <c r="G6847" s="1">
        <v>7.8100000000000003E-2</v>
      </c>
      <c r="H6847" s="1">
        <v>8.4099999999999994E-2</v>
      </c>
      <c r="I6847" s="1">
        <v>1.9800000000000002E-2</v>
      </c>
      <c r="J6847" s="1">
        <v>5.4399999999999997E-2</v>
      </c>
      <c r="K6847" s="1">
        <v>0.41510000000000002</v>
      </c>
      <c r="L6847" s="1">
        <v>0.26219999999999999</v>
      </c>
      <c r="M6847" s="1">
        <v>9.1999999999999998E-3</v>
      </c>
    </row>
    <row r="6848" spans="1:13" x14ac:dyDescent="0.25">
      <c r="A6848" t="s">
        <v>203</v>
      </c>
      <c r="B6848" t="s">
        <v>228</v>
      </c>
      <c r="C6848">
        <v>177</v>
      </c>
      <c r="D6848" t="s">
        <v>201</v>
      </c>
      <c r="E6848">
        <v>2632</v>
      </c>
      <c r="F6848" s="1">
        <v>0.16009999999999999</v>
      </c>
      <c r="G6848" s="1">
        <v>3.7499999999999999E-2</v>
      </c>
      <c r="H6848" s="1">
        <v>2.8400000000000002E-2</v>
      </c>
      <c r="J6848" s="1">
        <v>0.2165</v>
      </c>
      <c r="K6848" s="1">
        <v>0.28239999999999998</v>
      </c>
      <c r="L6848" s="1">
        <v>0.27500000000000002</v>
      </c>
    </row>
    <row r="6849" spans="1:13" x14ac:dyDescent="0.25">
      <c r="A6849" t="s">
        <v>203</v>
      </c>
      <c r="B6849" t="s">
        <v>228</v>
      </c>
      <c r="C6849">
        <v>34</v>
      </c>
      <c r="D6849" t="s">
        <v>202</v>
      </c>
      <c r="E6849">
        <v>2632</v>
      </c>
      <c r="G6849" s="1">
        <v>3.0700000000000002E-2</v>
      </c>
      <c r="H6849" s="1">
        <v>2.0899999999999998E-2</v>
      </c>
      <c r="K6849" s="1">
        <v>0.29649999999999999</v>
      </c>
      <c r="L6849" s="1">
        <v>0.65180000000000005</v>
      </c>
    </row>
    <row r="6850" spans="1:13" x14ac:dyDescent="0.25">
      <c r="A6850" t="s">
        <v>203</v>
      </c>
      <c r="B6850" t="s">
        <v>229</v>
      </c>
      <c r="C6850">
        <v>56</v>
      </c>
      <c r="D6850" t="s">
        <v>202</v>
      </c>
      <c r="E6850">
        <v>2632</v>
      </c>
      <c r="F6850" s="1">
        <v>2.7699999999999999E-2</v>
      </c>
      <c r="G6850" s="1">
        <v>4.6899999999999997E-2</v>
      </c>
      <c r="H6850" s="1">
        <v>1.52E-2</v>
      </c>
      <c r="K6850" s="1">
        <v>3.56E-2</v>
      </c>
      <c r="L6850" s="1">
        <v>0.87460000000000004</v>
      </c>
    </row>
    <row r="6851" spans="1:13" x14ac:dyDescent="0.25">
      <c r="A6851" t="s">
        <v>204</v>
      </c>
      <c r="B6851" t="s">
        <v>204</v>
      </c>
      <c r="C6851">
        <v>2632</v>
      </c>
      <c r="D6851" t="s">
        <v>204</v>
      </c>
      <c r="E6851">
        <v>2632</v>
      </c>
      <c r="F6851" s="1">
        <v>0.1212</v>
      </c>
      <c r="G6851" s="1">
        <v>0.10730000000000001</v>
      </c>
      <c r="H6851" s="1">
        <v>7.4300000000000005E-2</v>
      </c>
      <c r="I6851" s="1">
        <v>5.3E-3</v>
      </c>
      <c r="J6851" s="1">
        <v>0.1116</v>
      </c>
      <c r="K6851" s="1">
        <v>0.27539999999999998</v>
      </c>
      <c r="L6851" s="1">
        <v>0.30330000000000001</v>
      </c>
      <c r="M6851" s="1">
        <v>1.6999999999999999E-3</v>
      </c>
    </row>
    <row r="6853" spans="1:13" x14ac:dyDescent="0.25">
      <c r="A6853" t="s">
        <v>1240</v>
      </c>
    </row>
    <row r="6854" spans="1:13" x14ac:dyDescent="0.25">
      <c r="A6854" t="s">
        <v>190</v>
      </c>
      <c r="B6854" t="s">
        <v>206</v>
      </c>
      <c r="C6854" t="s">
        <v>195</v>
      </c>
      <c r="D6854" t="s">
        <v>189</v>
      </c>
      <c r="E6854" t="s">
        <v>196</v>
      </c>
      <c r="F6854" t="s">
        <v>1233</v>
      </c>
      <c r="G6854" t="s">
        <v>1234</v>
      </c>
      <c r="H6854" t="s">
        <v>1235</v>
      </c>
      <c r="I6854" t="s">
        <v>220</v>
      </c>
      <c r="J6854" t="s">
        <v>1236</v>
      </c>
      <c r="K6854" t="s">
        <v>1237</v>
      </c>
      <c r="L6854" t="s">
        <v>1238</v>
      </c>
      <c r="M6854" t="s">
        <v>215</v>
      </c>
    </row>
    <row r="6855" spans="1:13" x14ac:dyDescent="0.25">
      <c r="A6855" t="s">
        <v>198</v>
      </c>
      <c r="B6855" t="s">
        <v>348</v>
      </c>
      <c r="C6855">
        <v>79</v>
      </c>
      <c r="D6855" t="s">
        <v>197</v>
      </c>
      <c r="E6855">
        <v>2632</v>
      </c>
      <c r="F6855" s="1">
        <v>0.18060000000000001</v>
      </c>
      <c r="G6855" s="1">
        <v>0.14249999999999999</v>
      </c>
      <c r="H6855" s="1">
        <v>0.1143</v>
      </c>
      <c r="I6855" s="1">
        <v>1.4200000000000001E-2</v>
      </c>
      <c r="J6855" s="1">
        <v>0.17849999999999999</v>
      </c>
      <c r="K6855" s="1">
        <v>0.29620000000000002</v>
      </c>
      <c r="L6855" s="1">
        <v>7.3599999999999999E-2</v>
      </c>
    </row>
    <row r="6856" spans="1:13" s="29" customFormat="1" x14ac:dyDescent="0.25">
      <c r="A6856" s="29" t="s">
        <v>198</v>
      </c>
      <c r="B6856" s="29" t="s">
        <v>349</v>
      </c>
      <c r="C6856" s="29">
        <v>3</v>
      </c>
      <c r="D6856" s="29" t="s">
        <v>197</v>
      </c>
      <c r="E6856" s="29">
        <v>2632</v>
      </c>
      <c r="G6856" s="30">
        <v>0.33329999999999999</v>
      </c>
      <c r="J6856" s="30">
        <v>0.33329999999999999</v>
      </c>
      <c r="K6856" s="30">
        <v>0.33329999999999999</v>
      </c>
    </row>
    <row r="6857" spans="1:13" x14ac:dyDescent="0.25">
      <c r="A6857" t="s">
        <v>198</v>
      </c>
      <c r="B6857" t="s">
        <v>348</v>
      </c>
      <c r="C6857">
        <v>54</v>
      </c>
      <c r="D6857" t="s">
        <v>199</v>
      </c>
      <c r="E6857">
        <v>2632</v>
      </c>
      <c r="F6857" s="1">
        <v>0.1537</v>
      </c>
      <c r="G6857" s="1">
        <v>5.8099999999999999E-2</v>
      </c>
      <c r="H6857" s="1">
        <v>0.20080000000000001</v>
      </c>
      <c r="J6857" s="1">
        <v>0.25340000000000001</v>
      </c>
      <c r="K6857" s="1">
        <v>0.16950000000000001</v>
      </c>
      <c r="L6857" s="1">
        <v>0.16450000000000001</v>
      </c>
    </row>
    <row r="6858" spans="1:13" x14ac:dyDescent="0.25">
      <c r="A6858" t="s">
        <v>198</v>
      </c>
      <c r="B6858" t="s">
        <v>349</v>
      </c>
      <c r="C6858">
        <v>111</v>
      </c>
      <c r="D6858" t="s">
        <v>199</v>
      </c>
      <c r="E6858">
        <v>2632</v>
      </c>
      <c r="F6858" s="1">
        <v>0.31590000000000001</v>
      </c>
      <c r="G6858" s="1">
        <v>0.21560000000000001</v>
      </c>
      <c r="H6858" s="1">
        <v>0.14319999999999999</v>
      </c>
      <c r="J6858" s="1">
        <v>0.1507</v>
      </c>
      <c r="K6858" s="1">
        <v>0.1162</v>
      </c>
      <c r="L6858" s="1">
        <v>5.8299999999999998E-2</v>
      </c>
    </row>
    <row r="6859" spans="1:13" x14ac:dyDescent="0.25">
      <c r="A6859" t="s">
        <v>198</v>
      </c>
      <c r="B6859" t="s">
        <v>350</v>
      </c>
      <c r="C6859">
        <v>193</v>
      </c>
      <c r="D6859" t="s">
        <v>199</v>
      </c>
      <c r="E6859">
        <v>2632</v>
      </c>
      <c r="F6859" s="1">
        <v>0.2283</v>
      </c>
      <c r="G6859" s="1">
        <v>0.1201</v>
      </c>
      <c r="H6859" s="1">
        <v>0.18509999999999999</v>
      </c>
      <c r="I6859" s="1">
        <v>9.9000000000000008E-3</v>
      </c>
      <c r="J6859" s="1">
        <v>0.3246</v>
      </c>
      <c r="K6859" s="1">
        <v>0.12859999999999999</v>
      </c>
      <c r="L6859" s="1">
        <v>3.3999999999999998E-3</v>
      </c>
    </row>
    <row r="6860" spans="1:13" x14ac:dyDescent="0.25">
      <c r="A6860" t="s">
        <v>198</v>
      </c>
      <c r="B6860" t="s">
        <v>350</v>
      </c>
      <c r="C6860">
        <v>78</v>
      </c>
      <c r="D6860" t="s">
        <v>200</v>
      </c>
      <c r="E6860">
        <v>2632</v>
      </c>
      <c r="F6860" s="1">
        <v>0.2984</v>
      </c>
      <c r="G6860" s="1">
        <v>0.2102</v>
      </c>
      <c r="H6860" s="1">
        <v>0.10050000000000001</v>
      </c>
      <c r="I6860" s="1">
        <v>1.4E-3</v>
      </c>
      <c r="J6860" s="1">
        <v>0.1202</v>
      </c>
      <c r="K6860" s="1">
        <v>0.2349</v>
      </c>
      <c r="L6860" s="1">
        <v>3.44E-2</v>
      </c>
    </row>
    <row r="6861" spans="1:13" x14ac:dyDescent="0.25">
      <c r="A6861" t="s">
        <v>198</v>
      </c>
      <c r="B6861" t="s">
        <v>348</v>
      </c>
      <c r="C6861">
        <v>242</v>
      </c>
      <c r="D6861" t="s">
        <v>200</v>
      </c>
      <c r="E6861">
        <v>2632</v>
      </c>
      <c r="F6861" s="1">
        <v>0.1681</v>
      </c>
      <c r="G6861" s="1">
        <v>0.13350000000000001</v>
      </c>
      <c r="H6861" s="1">
        <v>9.5100000000000004E-2</v>
      </c>
      <c r="I6861" s="1">
        <v>1.78E-2</v>
      </c>
      <c r="J6861" s="1">
        <v>0.17119999999999999</v>
      </c>
      <c r="K6861" s="1">
        <v>0.3155</v>
      </c>
      <c r="L6861" s="1">
        <v>9.8799999999999999E-2</v>
      </c>
    </row>
    <row r="6862" spans="1:13" x14ac:dyDescent="0.25">
      <c r="A6862" t="s">
        <v>198</v>
      </c>
      <c r="B6862" t="s">
        <v>349</v>
      </c>
      <c r="C6862">
        <v>62</v>
      </c>
      <c r="D6862" t="s">
        <v>200</v>
      </c>
      <c r="E6862">
        <v>2632</v>
      </c>
      <c r="F6862" s="1">
        <v>0.16370000000000001</v>
      </c>
      <c r="G6862" s="1">
        <v>7.5999999999999998E-2</v>
      </c>
      <c r="H6862" s="1">
        <v>8.7999999999999995E-2</v>
      </c>
      <c r="J6862" s="1">
        <v>0.1857</v>
      </c>
      <c r="K6862" s="1">
        <v>0.39739999999999998</v>
      </c>
      <c r="L6862" s="1">
        <v>8.9200000000000002E-2</v>
      </c>
    </row>
    <row r="6863" spans="1:13" x14ac:dyDescent="0.25">
      <c r="A6863" t="s">
        <v>198</v>
      </c>
      <c r="B6863" t="s">
        <v>349</v>
      </c>
      <c r="C6863">
        <v>125</v>
      </c>
      <c r="D6863" t="s">
        <v>201</v>
      </c>
      <c r="E6863">
        <v>2632</v>
      </c>
      <c r="F6863" s="1">
        <v>0.25800000000000001</v>
      </c>
      <c r="G6863" s="1">
        <v>0.19839999999999999</v>
      </c>
      <c r="H6863" s="1">
        <v>7.5399999999999995E-2</v>
      </c>
      <c r="I6863" s="1">
        <v>5.1999999999999998E-3</v>
      </c>
      <c r="J6863" s="1">
        <v>0.252</v>
      </c>
      <c r="K6863" s="1">
        <v>0.14299999999999999</v>
      </c>
      <c r="L6863" s="1">
        <v>6.8099999999999994E-2</v>
      </c>
    </row>
    <row r="6864" spans="1:13" x14ac:dyDescent="0.25">
      <c r="A6864" t="s">
        <v>198</v>
      </c>
      <c r="B6864" t="s">
        <v>350</v>
      </c>
      <c r="C6864">
        <v>62</v>
      </c>
      <c r="D6864" t="s">
        <v>201</v>
      </c>
      <c r="E6864">
        <v>2632</v>
      </c>
      <c r="F6864" s="1">
        <v>0.13650000000000001</v>
      </c>
      <c r="G6864" s="1">
        <v>4.36E-2</v>
      </c>
      <c r="H6864" s="1">
        <v>2.9600000000000001E-2</v>
      </c>
      <c r="J6864" s="1">
        <v>0.66579999999999995</v>
      </c>
      <c r="K6864" s="1">
        <v>3.6600000000000001E-2</v>
      </c>
      <c r="L6864" s="1">
        <v>8.7999999999999995E-2</v>
      </c>
    </row>
    <row r="6865" spans="1:23" x14ac:dyDescent="0.25">
      <c r="A6865" t="s">
        <v>198</v>
      </c>
      <c r="B6865" t="s">
        <v>348</v>
      </c>
      <c r="C6865">
        <v>62</v>
      </c>
      <c r="D6865" t="s">
        <v>201</v>
      </c>
      <c r="E6865">
        <v>2632</v>
      </c>
      <c r="F6865" s="1">
        <v>0.17929999999999999</v>
      </c>
      <c r="G6865" s="1">
        <v>0.27039999999999997</v>
      </c>
      <c r="H6865" s="1">
        <v>5.8599999999999999E-2</v>
      </c>
      <c r="J6865" s="1">
        <v>0.13469999999999999</v>
      </c>
      <c r="K6865" s="1">
        <v>0.1671</v>
      </c>
      <c r="L6865" s="1">
        <v>0.1898</v>
      </c>
    </row>
    <row r="6866" spans="1:23" x14ac:dyDescent="0.25">
      <c r="A6866" t="s">
        <v>198</v>
      </c>
      <c r="B6866" t="s">
        <v>348</v>
      </c>
      <c r="C6866">
        <v>96</v>
      </c>
      <c r="D6866" t="s">
        <v>202</v>
      </c>
      <c r="E6866">
        <v>2632</v>
      </c>
      <c r="F6866" s="1">
        <v>0.16880000000000001</v>
      </c>
      <c r="G6866" s="1">
        <v>0.27500000000000002</v>
      </c>
      <c r="H6866" s="1">
        <v>0.10680000000000001</v>
      </c>
      <c r="J6866" s="1">
        <v>0.1852</v>
      </c>
      <c r="K6866" s="1">
        <v>0.17630000000000001</v>
      </c>
      <c r="L6866" s="1">
        <v>7.8399999999999997E-2</v>
      </c>
      <c r="M6866" s="1">
        <v>9.4999999999999998E-3</v>
      </c>
    </row>
    <row r="6867" spans="1:23" x14ac:dyDescent="0.25">
      <c r="A6867" t="s">
        <v>203</v>
      </c>
      <c r="B6867" t="s">
        <v>349</v>
      </c>
      <c r="C6867">
        <v>171</v>
      </c>
      <c r="D6867" t="s">
        <v>199</v>
      </c>
      <c r="E6867">
        <v>2632</v>
      </c>
      <c r="F6867" s="1">
        <v>9.2899999999999996E-2</v>
      </c>
      <c r="G6867" s="1">
        <v>7.9899999999999999E-2</v>
      </c>
      <c r="H6867" s="1">
        <v>5.7700000000000001E-2</v>
      </c>
      <c r="J6867" s="1">
        <v>0.13780000000000001</v>
      </c>
      <c r="K6867" s="1">
        <v>8.1500000000000003E-2</v>
      </c>
      <c r="L6867" s="1">
        <v>0.55020000000000002</v>
      </c>
    </row>
    <row r="6868" spans="1:23" x14ac:dyDescent="0.25">
      <c r="A6868" t="s">
        <v>203</v>
      </c>
      <c r="B6868" t="s">
        <v>348</v>
      </c>
      <c r="C6868">
        <v>42</v>
      </c>
      <c r="D6868" t="s">
        <v>199</v>
      </c>
      <c r="E6868">
        <v>2632</v>
      </c>
      <c r="F6868" s="1">
        <v>0.01</v>
      </c>
      <c r="G6868" s="1">
        <v>6.6699999999999995E-2</v>
      </c>
      <c r="H6868" s="1">
        <v>1.4999999999999999E-2</v>
      </c>
      <c r="J6868" s="1">
        <v>5.1000000000000004E-3</v>
      </c>
      <c r="K6868" s="1">
        <v>0.3095</v>
      </c>
      <c r="L6868" s="1">
        <v>0.59379999999999999</v>
      </c>
    </row>
    <row r="6869" spans="1:23" x14ac:dyDescent="0.25">
      <c r="A6869" t="s">
        <v>203</v>
      </c>
      <c r="B6869" t="s">
        <v>350</v>
      </c>
      <c r="C6869">
        <v>307</v>
      </c>
      <c r="D6869" t="s">
        <v>199</v>
      </c>
      <c r="E6869">
        <v>2632</v>
      </c>
      <c r="F6869" s="1">
        <v>9.7000000000000003E-2</v>
      </c>
      <c r="G6869" s="1">
        <v>9.8199999999999996E-2</v>
      </c>
      <c r="H6869" s="1">
        <v>7.1900000000000006E-2</v>
      </c>
      <c r="I6869" s="1">
        <v>8.9999999999999998E-4</v>
      </c>
      <c r="J6869" s="1">
        <v>9.7699999999999995E-2</v>
      </c>
      <c r="K6869" s="1">
        <v>0.39850000000000002</v>
      </c>
      <c r="L6869" s="1">
        <v>0.23569999999999999</v>
      </c>
    </row>
    <row r="6870" spans="1:23" x14ac:dyDescent="0.25">
      <c r="A6870" t="s">
        <v>203</v>
      </c>
      <c r="B6870" t="s">
        <v>348</v>
      </c>
      <c r="C6870">
        <v>300</v>
      </c>
      <c r="D6870" t="s">
        <v>200</v>
      </c>
      <c r="E6870">
        <v>2632</v>
      </c>
      <c r="F6870" s="1">
        <v>2.9000000000000001E-2</v>
      </c>
      <c r="G6870" s="1">
        <v>2.0899999999999998E-2</v>
      </c>
      <c r="H6870" s="1">
        <v>2.3699999999999999E-2</v>
      </c>
      <c r="I6870" s="1">
        <v>2E-3</v>
      </c>
      <c r="J6870" s="1">
        <v>8.9999999999999998E-4</v>
      </c>
      <c r="K6870" s="1">
        <v>0.3397</v>
      </c>
      <c r="L6870" s="1">
        <v>0.58379999999999999</v>
      </c>
    </row>
    <row r="6871" spans="1:23" x14ac:dyDescent="0.25">
      <c r="A6871" t="s">
        <v>203</v>
      </c>
      <c r="B6871" t="s">
        <v>349</v>
      </c>
      <c r="C6871">
        <v>108</v>
      </c>
      <c r="D6871" t="s">
        <v>200</v>
      </c>
      <c r="E6871">
        <v>2632</v>
      </c>
      <c r="F6871" s="1">
        <v>5.5899999999999998E-2</v>
      </c>
      <c r="G6871" s="1">
        <v>5.2200000000000003E-2</v>
      </c>
      <c r="H6871" s="1">
        <v>2.86E-2</v>
      </c>
      <c r="I6871" s="1">
        <v>8.9999999999999998E-4</v>
      </c>
      <c r="J6871" s="1">
        <v>3.8E-3</v>
      </c>
      <c r="K6871" s="1">
        <v>0.62480000000000002</v>
      </c>
      <c r="L6871" s="1">
        <v>0.2185</v>
      </c>
      <c r="M6871" s="1">
        <v>1.5299999999999999E-2</v>
      </c>
    </row>
    <row r="6872" spans="1:23" x14ac:dyDescent="0.25">
      <c r="A6872" t="s">
        <v>203</v>
      </c>
      <c r="B6872" t="s">
        <v>350</v>
      </c>
      <c r="C6872">
        <v>94</v>
      </c>
      <c r="D6872" t="s">
        <v>200</v>
      </c>
      <c r="E6872">
        <v>2632</v>
      </c>
      <c r="F6872" s="1">
        <v>8.1500000000000003E-2</v>
      </c>
      <c r="G6872" s="1">
        <v>8.2299999999999998E-2</v>
      </c>
      <c r="H6872" s="1">
        <v>3.6600000000000001E-2</v>
      </c>
      <c r="J6872" s="1">
        <v>5.8400000000000001E-2</v>
      </c>
      <c r="K6872" s="1">
        <v>0.4541</v>
      </c>
      <c r="L6872" s="1">
        <v>0.28720000000000001</v>
      </c>
    </row>
    <row r="6873" spans="1:23" x14ac:dyDescent="0.25">
      <c r="A6873" t="s">
        <v>203</v>
      </c>
      <c r="B6873" t="s">
        <v>348</v>
      </c>
      <c r="C6873">
        <v>62</v>
      </c>
      <c r="D6873" t="s">
        <v>201</v>
      </c>
      <c r="E6873">
        <v>2632</v>
      </c>
      <c r="F6873" s="1">
        <v>3.9199999999999999E-2</v>
      </c>
      <c r="G6873" s="1">
        <v>2.52E-2</v>
      </c>
      <c r="H6873" s="1">
        <v>4.2700000000000002E-2</v>
      </c>
      <c r="J6873" s="1">
        <v>2.9600000000000001E-2</v>
      </c>
      <c r="K6873" s="1">
        <v>0.23680000000000001</v>
      </c>
      <c r="L6873" s="1">
        <v>0.62649999999999995</v>
      </c>
    </row>
    <row r="6874" spans="1:23" x14ac:dyDescent="0.25">
      <c r="A6874" t="s">
        <v>203</v>
      </c>
      <c r="B6874" t="s">
        <v>349</v>
      </c>
      <c r="C6874">
        <v>147</v>
      </c>
      <c r="D6874" t="s">
        <v>201</v>
      </c>
      <c r="E6874">
        <v>2632</v>
      </c>
      <c r="F6874" s="1">
        <v>9.6600000000000005E-2</v>
      </c>
      <c r="G6874" s="1">
        <v>7.1199999999999999E-2</v>
      </c>
      <c r="H6874" s="1">
        <v>7.51E-2</v>
      </c>
      <c r="I6874" s="1">
        <v>1.7000000000000001E-2</v>
      </c>
      <c r="J6874" s="1">
        <v>6.3E-2</v>
      </c>
      <c r="K6874" s="1">
        <v>0.43020000000000003</v>
      </c>
      <c r="L6874" s="1">
        <v>0.23830000000000001</v>
      </c>
      <c r="M6874" s="1">
        <v>8.5000000000000006E-3</v>
      </c>
    </row>
    <row r="6875" spans="1:23" x14ac:dyDescent="0.25">
      <c r="A6875" t="s">
        <v>203</v>
      </c>
      <c r="B6875" t="s">
        <v>350</v>
      </c>
      <c r="C6875">
        <v>105</v>
      </c>
      <c r="D6875" t="s">
        <v>201</v>
      </c>
      <c r="E6875">
        <v>2632</v>
      </c>
      <c r="F6875" s="1">
        <v>0.18959999999999999</v>
      </c>
      <c r="G6875" s="1">
        <v>0.10290000000000001</v>
      </c>
      <c r="H6875" s="1">
        <v>6.4899999999999999E-2</v>
      </c>
      <c r="I6875" s="1">
        <v>1.6199999999999999E-2</v>
      </c>
      <c r="J6875" s="1">
        <v>0.53520000000000001</v>
      </c>
      <c r="K6875" s="1">
        <v>7.4899999999999994E-2</v>
      </c>
      <c r="L6875" s="1">
        <v>1.6199999999999999E-2</v>
      </c>
    </row>
    <row r="6876" spans="1:23" x14ac:dyDescent="0.25">
      <c r="A6876" t="s">
        <v>203</v>
      </c>
      <c r="B6876" t="s">
        <v>348</v>
      </c>
      <c r="C6876">
        <v>90</v>
      </c>
      <c r="D6876" t="s">
        <v>202</v>
      </c>
      <c r="E6876">
        <v>2632</v>
      </c>
      <c r="F6876" s="1">
        <v>1.9900000000000001E-2</v>
      </c>
      <c r="G6876" s="1">
        <v>4.2299999999999997E-2</v>
      </c>
      <c r="H6876" s="1">
        <v>1.6799999999999999E-2</v>
      </c>
      <c r="K6876" s="1">
        <v>0.1094</v>
      </c>
      <c r="L6876" s="1">
        <v>0.81159999999999999</v>
      </c>
    </row>
    <row r="6877" spans="1:23" x14ac:dyDescent="0.25">
      <c r="A6877" t="s">
        <v>204</v>
      </c>
      <c r="B6877" t="s">
        <v>204</v>
      </c>
      <c r="C6877">
        <v>2632</v>
      </c>
      <c r="D6877" t="s">
        <v>204</v>
      </c>
      <c r="E6877">
        <v>2632</v>
      </c>
      <c r="F6877" s="1">
        <v>0.1212</v>
      </c>
      <c r="G6877" s="1">
        <v>0.10730000000000001</v>
      </c>
      <c r="H6877" s="1">
        <v>7.4300000000000005E-2</v>
      </c>
      <c r="I6877" s="1">
        <v>5.3E-3</v>
      </c>
      <c r="J6877" s="1">
        <v>0.1116</v>
      </c>
      <c r="K6877" s="1">
        <v>0.27539999999999998</v>
      </c>
      <c r="L6877" s="1">
        <v>0.30330000000000001</v>
      </c>
      <c r="M6877" s="1">
        <v>1.6999999999999999E-3</v>
      </c>
    </row>
    <row r="6879" spans="1:23" x14ac:dyDescent="0.25">
      <c r="A6879" t="s">
        <v>1241</v>
      </c>
    </row>
    <row r="6880" spans="1:23" x14ac:dyDescent="0.25">
      <c r="A6880" t="s">
        <v>190</v>
      </c>
      <c r="B6880" t="s">
        <v>195</v>
      </c>
      <c r="C6880" t="s">
        <v>189</v>
      </c>
      <c r="D6880" t="s">
        <v>196</v>
      </c>
      <c r="E6880" t="s">
        <v>1242</v>
      </c>
      <c r="F6880" t="s">
        <v>388</v>
      </c>
      <c r="G6880" t="s">
        <v>271</v>
      </c>
      <c r="H6880" t="s">
        <v>235</v>
      </c>
      <c r="I6880" t="s">
        <v>215</v>
      </c>
      <c r="J6880" t="s">
        <v>1243</v>
      </c>
      <c r="K6880" t="s">
        <v>1244</v>
      </c>
      <c r="L6880" t="s">
        <v>1245</v>
      </c>
      <c r="M6880" t="s">
        <v>1246</v>
      </c>
      <c r="N6880" t="s">
        <v>1247</v>
      </c>
      <c r="O6880" t="s">
        <v>1248</v>
      </c>
      <c r="P6880" t="s">
        <v>1249</v>
      </c>
      <c r="Q6880" t="s">
        <v>1250</v>
      </c>
      <c r="R6880" t="s">
        <v>1251</v>
      </c>
      <c r="S6880" t="s">
        <v>1252</v>
      </c>
      <c r="T6880" t="s">
        <v>1253</v>
      </c>
      <c r="U6880" t="s">
        <v>1254</v>
      </c>
      <c r="V6880" t="s">
        <v>1255</v>
      </c>
      <c r="W6880" t="s">
        <v>1256</v>
      </c>
    </row>
    <row r="6881" spans="1:24" x14ac:dyDescent="0.25">
      <c r="A6881" t="s">
        <v>198</v>
      </c>
      <c r="B6881">
        <v>82</v>
      </c>
      <c r="C6881" t="s">
        <v>197</v>
      </c>
      <c r="D6881">
        <v>2630</v>
      </c>
      <c r="E6881" s="1">
        <v>7.3899999999999993E-2</v>
      </c>
      <c r="F6881" s="1">
        <v>7.4999999999999997E-3</v>
      </c>
      <c r="G6881" s="1">
        <v>0.45529999999999998</v>
      </c>
      <c r="J6881" s="1">
        <v>0.25800000000000001</v>
      </c>
      <c r="K6881" s="1">
        <v>9.8299999999999998E-2</v>
      </c>
      <c r="L6881" s="1">
        <v>7.4999999999999997E-3</v>
      </c>
      <c r="N6881" s="1">
        <v>0.1754</v>
      </c>
      <c r="O6881" s="1">
        <v>0.1817</v>
      </c>
      <c r="Q6881" s="1">
        <v>7.4999999999999997E-3</v>
      </c>
      <c r="S6881" s="1">
        <v>1.4999999999999999E-2</v>
      </c>
      <c r="T6881" s="1">
        <v>6.1400000000000003E-2</v>
      </c>
      <c r="U6881" s="1">
        <v>4.9500000000000002E-2</v>
      </c>
    </row>
    <row r="6882" spans="1:24" x14ac:dyDescent="0.25">
      <c r="A6882" t="s">
        <v>198</v>
      </c>
      <c r="B6882">
        <v>367</v>
      </c>
      <c r="C6882" t="s">
        <v>199</v>
      </c>
      <c r="D6882">
        <v>2630</v>
      </c>
      <c r="E6882" s="1">
        <v>8.6800000000000002E-2</v>
      </c>
      <c r="F6882" s="1">
        <v>2.2000000000000001E-3</v>
      </c>
      <c r="G6882" s="1">
        <v>0.49440000000000001</v>
      </c>
      <c r="J6882" s="1">
        <v>0.16489999999999999</v>
      </c>
      <c r="K6882" s="1">
        <v>4.6399999999999997E-2</v>
      </c>
      <c r="L6882" s="1">
        <v>2.2499999999999999E-2</v>
      </c>
      <c r="M6882" s="1">
        <v>1.21E-2</v>
      </c>
      <c r="N6882" s="1">
        <v>0.1691</v>
      </c>
      <c r="O6882" s="1">
        <v>0.15329999999999999</v>
      </c>
      <c r="P6882" s="1">
        <v>4.4000000000000003E-3</v>
      </c>
      <c r="Q6882" s="1">
        <v>1.9400000000000001E-2</v>
      </c>
      <c r="R6882" s="1">
        <v>3.0999999999999999E-3</v>
      </c>
      <c r="S6882" s="1">
        <v>2.53E-2</v>
      </c>
      <c r="T6882" s="1">
        <v>9.6199999999999994E-2</v>
      </c>
      <c r="U6882" s="1">
        <v>1.4200000000000001E-2</v>
      </c>
      <c r="V6882" s="1">
        <v>3.7100000000000001E-2</v>
      </c>
      <c r="W6882" s="1">
        <v>2.9999999999999997E-4</v>
      </c>
    </row>
    <row r="6883" spans="1:24" x14ac:dyDescent="0.25">
      <c r="A6883" t="s">
        <v>198</v>
      </c>
      <c r="B6883">
        <v>387</v>
      </c>
      <c r="C6883" t="s">
        <v>200</v>
      </c>
      <c r="D6883">
        <v>2630</v>
      </c>
      <c r="E6883" s="1">
        <v>0.1138</v>
      </c>
      <c r="F6883" s="1">
        <v>1.83E-2</v>
      </c>
      <c r="G6883" s="1">
        <v>0.44030000000000002</v>
      </c>
      <c r="J6883" s="1">
        <v>0.1787</v>
      </c>
      <c r="K6883" s="1">
        <v>2.6499999999999999E-2</v>
      </c>
      <c r="L6883" s="1">
        <v>4.5999999999999999E-3</v>
      </c>
      <c r="M6883" s="1">
        <v>5.3E-3</v>
      </c>
      <c r="N6883" s="1">
        <v>0.14860000000000001</v>
      </c>
      <c r="O6883" s="1">
        <v>0.17199999999999999</v>
      </c>
      <c r="P6883" s="1">
        <v>2.3E-3</v>
      </c>
      <c r="Q6883" s="1">
        <v>5.1999999999999998E-3</v>
      </c>
      <c r="S6883" s="1">
        <v>1.18E-2</v>
      </c>
      <c r="T6883" s="1">
        <v>0.1014</v>
      </c>
      <c r="U6883" s="1">
        <v>1.66E-2</v>
      </c>
      <c r="V6883" s="1">
        <v>2.4500000000000001E-2</v>
      </c>
    </row>
    <row r="6884" spans="1:24" x14ac:dyDescent="0.25">
      <c r="A6884" t="s">
        <v>198</v>
      </c>
      <c r="B6884">
        <v>256</v>
      </c>
      <c r="C6884" t="s">
        <v>201</v>
      </c>
      <c r="D6884">
        <v>2630</v>
      </c>
      <c r="E6884" s="1">
        <v>7.8399999999999997E-2</v>
      </c>
      <c r="F6884" s="1">
        <v>1.1999999999999999E-3</v>
      </c>
      <c r="G6884" s="1">
        <v>0.51970000000000005</v>
      </c>
      <c r="H6884" s="1">
        <v>2.87E-2</v>
      </c>
      <c r="J6884" s="1">
        <v>0.11700000000000001</v>
      </c>
      <c r="K6884" s="1">
        <v>3.0800000000000001E-2</v>
      </c>
      <c r="L6884" s="1">
        <v>0.01</v>
      </c>
      <c r="M6884" s="1">
        <v>9.2999999999999992E-3</v>
      </c>
      <c r="N6884" s="1">
        <v>0.105</v>
      </c>
      <c r="O6884" s="1">
        <v>0.1016</v>
      </c>
      <c r="P6884" s="1">
        <v>3.9899999999999998E-2</v>
      </c>
      <c r="Q6884" s="1">
        <v>7.7000000000000002E-3</v>
      </c>
      <c r="R6884" s="1">
        <v>5.1999999999999998E-3</v>
      </c>
      <c r="S6884" s="1">
        <v>2.46E-2</v>
      </c>
      <c r="T6884" s="1">
        <v>0.1588</v>
      </c>
      <c r="U6884" s="1">
        <v>2.9600000000000001E-2</v>
      </c>
      <c r="V6884" s="1">
        <v>5.11E-2</v>
      </c>
    </row>
    <row r="6885" spans="1:24" x14ac:dyDescent="0.25">
      <c r="A6885" t="s">
        <v>198</v>
      </c>
      <c r="B6885">
        <v>96</v>
      </c>
      <c r="C6885" t="s">
        <v>202</v>
      </c>
      <c r="D6885">
        <v>2630</v>
      </c>
      <c r="E6885" s="1">
        <v>5.3699999999999998E-2</v>
      </c>
      <c r="F6885" s="1">
        <v>5.8500000000000003E-2</v>
      </c>
      <c r="G6885" s="1">
        <v>0.45519999999999999</v>
      </c>
      <c r="I6885" s="1">
        <v>2.52E-2</v>
      </c>
      <c r="J6885" s="1">
        <v>0.2097</v>
      </c>
      <c r="K6885" s="1">
        <v>6.1600000000000002E-2</v>
      </c>
      <c r="L6885" s="1">
        <v>5.1000000000000004E-3</v>
      </c>
      <c r="N6885" s="1">
        <v>0.12970000000000001</v>
      </c>
      <c r="O6885" s="1">
        <v>0.1</v>
      </c>
      <c r="P6885" s="1">
        <v>2.5000000000000001E-3</v>
      </c>
      <c r="S6885" s="1">
        <v>3.0300000000000001E-2</v>
      </c>
      <c r="T6885" s="1">
        <v>8.0699999999999994E-2</v>
      </c>
      <c r="U6885" s="1">
        <v>2.5000000000000001E-3</v>
      </c>
      <c r="V6885" s="1">
        <v>2.3800000000000002E-2</v>
      </c>
    </row>
    <row r="6886" spans="1:24" x14ac:dyDescent="0.25">
      <c r="A6886" t="s">
        <v>203</v>
      </c>
      <c r="B6886">
        <v>530</v>
      </c>
      <c r="C6886" t="s">
        <v>199</v>
      </c>
      <c r="D6886">
        <v>2630</v>
      </c>
      <c r="E6886" s="1">
        <v>0.43120000000000003</v>
      </c>
      <c r="F6886" s="1">
        <v>2.0500000000000001E-2</v>
      </c>
      <c r="G6886" s="1">
        <v>0.2833</v>
      </c>
      <c r="H6886" s="1">
        <v>5.9999999999999995E-4</v>
      </c>
      <c r="J6886" s="1">
        <v>7.9100000000000004E-2</v>
      </c>
      <c r="K6886" s="1">
        <v>8.0000000000000002E-3</v>
      </c>
      <c r="L6886" s="1">
        <v>2.2000000000000001E-3</v>
      </c>
      <c r="M6886" s="1">
        <v>2.5399999999999999E-2</v>
      </c>
      <c r="N6886" s="1">
        <v>7.6399999999999996E-2</v>
      </c>
      <c r="O6886" s="1">
        <v>0.1275</v>
      </c>
      <c r="P6886" s="1">
        <v>2.3999999999999998E-3</v>
      </c>
      <c r="R6886" s="1">
        <v>1.9599999999999999E-2</v>
      </c>
      <c r="S6886" s="1">
        <v>2.7000000000000001E-3</v>
      </c>
      <c r="T6886" s="1">
        <v>5.9700000000000003E-2</v>
      </c>
      <c r="U6886" s="1">
        <v>2.2599999999999999E-2</v>
      </c>
      <c r="V6886" s="1">
        <v>3.3099999999999997E-2</v>
      </c>
    </row>
    <row r="6887" spans="1:24" x14ac:dyDescent="0.25">
      <c r="A6887" t="s">
        <v>203</v>
      </c>
      <c r="B6887">
        <v>502</v>
      </c>
      <c r="C6887" t="s">
        <v>200</v>
      </c>
      <c r="D6887">
        <v>2630</v>
      </c>
      <c r="E6887" s="1">
        <v>0.54859999999999998</v>
      </c>
      <c r="F6887" s="1">
        <v>3.6900000000000002E-2</v>
      </c>
      <c r="G6887" s="1">
        <v>0.25790000000000002</v>
      </c>
      <c r="J6887" s="1">
        <v>6.6799999999999998E-2</v>
      </c>
      <c r="K6887" s="1">
        <v>8.9999999999999998E-4</v>
      </c>
      <c r="M6887" s="1">
        <v>3.5000000000000001E-3</v>
      </c>
      <c r="N6887" s="1">
        <v>7.6200000000000004E-2</v>
      </c>
      <c r="O6887" s="1">
        <v>9.0899999999999995E-2</v>
      </c>
      <c r="T6887" s="1">
        <v>3.9600000000000003E-2</v>
      </c>
      <c r="U6887" s="1">
        <v>1.1999999999999999E-3</v>
      </c>
      <c r="V6887" s="1">
        <v>1.8E-3</v>
      </c>
      <c r="W6887" s="1">
        <v>1.4E-3</v>
      </c>
    </row>
    <row r="6888" spans="1:24" x14ac:dyDescent="0.25">
      <c r="A6888" t="s">
        <v>203</v>
      </c>
      <c r="B6888">
        <v>320</v>
      </c>
      <c r="C6888" t="s">
        <v>201</v>
      </c>
      <c r="D6888">
        <v>2630</v>
      </c>
      <c r="E6888" s="1">
        <v>0.29980000000000001</v>
      </c>
      <c r="F6888" s="1">
        <v>7.9000000000000008E-3</v>
      </c>
      <c r="G6888" s="1">
        <v>0.43469999999999998</v>
      </c>
      <c r="I6888" s="1">
        <v>6.9999999999999999E-4</v>
      </c>
      <c r="J6888" s="1">
        <v>6.7599999999999993E-2</v>
      </c>
      <c r="K6888" s="1">
        <v>2.5000000000000001E-2</v>
      </c>
      <c r="L6888" s="1">
        <v>5.4999999999999997E-3</v>
      </c>
      <c r="M6888" s="1">
        <v>7.0000000000000001E-3</v>
      </c>
      <c r="N6888" s="1">
        <v>6.7000000000000004E-2</v>
      </c>
      <c r="O6888" s="1">
        <v>3.9600000000000003E-2</v>
      </c>
      <c r="P6888" s="1">
        <v>8.2000000000000007E-3</v>
      </c>
      <c r="Q6888" s="1">
        <v>8.3000000000000001E-3</v>
      </c>
      <c r="R6888" s="1">
        <v>2.7000000000000001E-3</v>
      </c>
      <c r="S6888" s="1">
        <v>1.1999999999999999E-3</v>
      </c>
      <c r="T6888" s="1">
        <v>0.1366</v>
      </c>
      <c r="U6888" s="1">
        <v>1.7500000000000002E-2</v>
      </c>
      <c r="V6888" s="1">
        <v>2.8E-3</v>
      </c>
    </row>
    <row r="6889" spans="1:24" x14ac:dyDescent="0.25">
      <c r="A6889" t="s">
        <v>203</v>
      </c>
      <c r="B6889">
        <v>90</v>
      </c>
      <c r="C6889" t="s">
        <v>202</v>
      </c>
      <c r="D6889">
        <v>2630</v>
      </c>
      <c r="E6889" s="1">
        <v>0.53539999999999999</v>
      </c>
      <c r="F6889" s="1">
        <v>2.2700000000000001E-2</v>
      </c>
      <c r="G6889" s="1">
        <v>0.32019999999999998</v>
      </c>
      <c r="J6889" s="1">
        <v>3.6600000000000001E-2</v>
      </c>
      <c r="N6889" s="1">
        <v>2.7199999999999998E-2</v>
      </c>
      <c r="O6889" s="1">
        <v>5.7500000000000002E-2</v>
      </c>
      <c r="P6889" s="1">
        <v>4.8999999999999998E-3</v>
      </c>
      <c r="T6889" s="1">
        <v>2.2700000000000001E-2</v>
      </c>
      <c r="U6889" s="1">
        <v>4.8999999999999998E-3</v>
      </c>
      <c r="V6889" s="1">
        <v>1.2500000000000001E-2</v>
      </c>
      <c r="W6889" s="1">
        <v>4.8999999999999998E-3</v>
      </c>
    </row>
    <row r="6890" spans="1:24" x14ac:dyDescent="0.25">
      <c r="A6890" t="s">
        <v>204</v>
      </c>
      <c r="B6890">
        <v>2630</v>
      </c>
      <c r="C6890" t="s">
        <v>204</v>
      </c>
      <c r="D6890">
        <v>2630</v>
      </c>
      <c r="E6890" s="1">
        <v>0.30680000000000002</v>
      </c>
      <c r="F6890" s="1">
        <v>2.4299999999999999E-2</v>
      </c>
      <c r="G6890" s="1">
        <v>0.37019999999999997</v>
      </c>
      <c r="H6890" s="1">
        <v>1.4E-3</v>
      </c>
      <c r="I6890" s="1">
        <v>2.3999999999999998E-3</v>
      </c>
      <c r="J6890" s="1">
        <v>0.1217</v>
      </c>
      <c r="K6890" s="1">
        <v>2.5499999999999998E-2</v>
      </c>
      <c r="L6890" s="1">
        <v>5.4000000000000003E-3</v>
      </c>
      <c r="M6890" s="1">
        <v>7.4000000000000003E-3</v>
      </c>
      <c r="N6890" s="1">
        <v>0.1069</v>
      </c>
      <c r="O6890" s="1">
        <v>0.11650000000000001</v>
      </c>
      <c r="P6890" s="1">
        <v>4.0000000000000001E-3</v>
      </c>
      <c r="Q6890" s="1">
        <v>4.4000000000000003E-3</v>
      </c>
      <c r="R6890" s="1">
        <v>3.3E-3</v>
      </c>
      <c r="S6890" s="1">
        <v>1.01E-2</v>
      </c>
      <c r="T6890" s="1">
        <v>7.2300000000000003E-2</v>
      </c>
      <c r="U6890" s="1">
        <v>1.32E-2</v>
      </c>
      <c r="V6890" s="1">
        <v>1.7999999999999999E-2</v>
      </c>
      <c r="W6890" s="1">
        <v>6.9999999999999999E-4</v>
      </c>
    </row>
    <row r="6892" spans="1:24" x14ac:dyDescent="0.25">
      <c r="A6892" t="s">
        <v>1257</v>
      </c>
    </row>
    <row r="6893" spans="1:24" x14ac:dyDescent="0.25">
      <c r="A6893" t="s">
        <v>190</v>
      </c>
      <c r="B6893" t="s">
        <v>206</v>
      </c>
      <c r="C6893" t="s">
        <v>195</v>
      </c>
      <c r="D6893" t="s">
        <v>189</v>
      </c>
      <c r="E6893" t="s">
        <v>196</v>
      </c>
      <c r="F6893" t="s">
        <v>1242</v>
      </c>
      <c r="G6893" t="s">
        <v>388</v>
      </c>
      <c r="H6893" t="s">
        <v>271</v>
      </c>
      <c r="I6893" t="s">
        <v>235</v>
      </c>
      <c r="J6893" t="s">
        <v>215</v>
      </c>
      <c r="K6893" t="s">
        <v>1243</v>
      </c>
      <c r="L6893" t="s">
        <v>1244</v>
      </c>
      <c r="M6893" t="s">
        <v>1245</v>
      </c>
      <c r="N6893" t="s">
        <v>1246</v>
      </c>
      <c r="O6893" t="s">
        <v>1247</v>
      </c>
      <c r="P6893" t="s">
        <v>1248</v>
      </c>
      <c r="Q6893" t="s">
        <v>1249</v>
      </c>
      <c r="R6893" t="s">
        <v>1250</v>
      </c>
      <c r="S6893" t="s">
        <v>1251</v>
      </c>
      <c r="T6893" t="s">
        <v>1252</v>
      </c>
      <c r="U6893" t="s">
        <v>1253</v>
      </c>
      <c r="V6893" t="s">
        <v>1254</v>
      </c>
      <c r="W6893" t="s">
        <v>1255</v>
      </c>
      <c r="X6893" t="s">
        <v>1256</v>
      </c>
    </row>
    <row r="6894" spans="1:24" x14ac:dyDescent="0.25">
      <c r="A6894" t="s">
        <v>198</v>
      </c>
      <c r="B6894" t="s">
        <v>228</v>
      </c>
      <c r="C6894">
        <v>33</v>
      </c>
      <c r="D6894" t="s">
        <v>197</v>
      </c>
      <c r="E6894">
        <v>2630</v>
      </c>
      <c r="F6894" s="1">
        <v>0.1537</v>
      </c>
      <c r="G6894" s="1">
        <v>1.7299999999999999E-2</v>
      </c>
      <c r="H6894" s="1">
        <v>0.52729999999999999</v>
      </c>
      <c r="K6894" s="1">
        <v>0.2077</v>
      </c>
      <c r="L6894" s="1">
        <v>1.7299999999999999E-2</v>
      </c>
      <c r="M6894" s="1">
        <v>1.7299999999999999E-2</v>
      </c>
      <c r="O6894" s="1">
        <v>0.1166</v>
      </c>
      <c r="P6894" s="1">
        <v>0.14219999999999999</v>
      </c>
      <c r="T6894" s="1">
        <v>3.4700000000000002E-2</v>
      </c>
      <c r="U6894" s="1">
        <v>2.5600000000000001E-2</v>
      </c>
      <c r="V6894" s="1">
        <v>3.4700000000000002E-2</v>
      </c>
    </row>
    <row r="6895" spans="1:24" x14ac:dyDescent="0.25">
      <c r="A6895" t="s">
        <v>198</v>
      </c>
      <c r="B6895" t="s">
        <v>229</v>
      </c>
      <c r="C6895">
        <v>49</v>
      </c>
      <c r="D6895" t="s">
        <v>197</v>
      </c>
      <c r="E6895">
        <v>2630</v>
      </c>
      <c r="F6895" s="1">
        <v>1.32E-2</v>
      </c>
      <c r="H6895" s="1">
        <v>0.40060000000000001</v>
      </c>
      <c r="K6895" s="1">
        <v>0.2964</v>
      </c>
      <c r="L6895" s="1">
        <v>0.1598</v>
      </c>
      <c r="O6895" s="1">
        <v>0.22009999999999999</v>
      </c>
      <c r="P6895" s="1">
        <v>0.2117</v>
      </c>
      <c r="R6895" s="1">
        <v>1.32E-2</v>
      </c>
      <c r="U6895" s="1">
        <v>8.8599999999999998E-2</v>
      </c>
      <c r="V6895" s="1">
        <v>6.08E-2</v>
      </c>
    </row>
    <row r="6896" spans="1:24" x14ac:dyDescent="0.25">
      <c r="A6896" t="s">
        <v>198</v>
      </c>
      <c r="B6896" t="s">
        <v>228</v>
      </c>
      <c r="C6896">
        <v>145</v>
      </c>
      <c r="D6896" t="s">
        <v>199</v>
      </c>
      <c r="E6896">
        <v>2630</v>
      </c>
      <c r="F6896" s="1">
        <v>9.9099999999999994E-2</v>
      </c>
      <c r="G6896" s="1">
        <v>8.6999999999999994E-3</v>
      </c>
      <c r="H6896" s="1">
        <v>0.47049999999999997</v>
      </c>
      <c r="K6896" s="1">
        <v>0.25280000000000002</v>
      </c>
      <c r="L6896" s="1">
        <v>7.9299999999999995E-2</v>
      </c>
      <c r="M6896" s="1">
        <v>2.3999999999999998E-3</v>
      </c>
      <c r="N6896" s="1">
        <v>2.8299999999999999E-2</v>
      </c>
      <c r="O6896" s="1">
        <v>0.1817</v>
      </c>
      <c r="P6896" s="1">
        <v>0.1711</v>
      </c>
      <c r="Q6896" s="1">
        <v>6.1000000000000004E-3</v>
      </c>
      <c r="S6896" s="1">
        <v>7.4000000000000003E-3</v>
      </c>
      <c r="T6896" s="1">
        <v>2.46E-2</v>
      </c>
      <c r="U6896" s="1">
        <v>2.53E-2</v>
      </c>
      <c r="V6896" s="1">
        <v>9.1000000000000004E-3</v>
      </c>
      <c r="W6896" s="1">
        <v>3.3E-3</v>
      </c>
      <c r="X6896" s="1">
        <v>1.1999999999999999E-3</v>
      </c>
    </row>
    <row r="6897" spans="1:24" x14ac:dyDescent="0.25">
      <c r="A6897" t="s">
        <v>198</v>
      </c>
      <c r="B6897" t="s">
        <v>229</v>
      </c>
      <c r="C6897">
        <v>212</v>
      </c>
      <c r="D6897" t="s">
        <v>199</v>
      </c>
      <c r="E6897">
        <v>2630</v>
      </c>
      <c r="F6897" s="1">
        <v>8.3400000000000002E-2</v>
      </c>
      <c r="H6897" s="1">
        <v>0.50209999999999999</v>
      </c>
      <c r="K6897" s="1">
        <v>0.13420000000000001</v>
      </c>
      <c r="L6897" s="1">
        <v>3.5400000000000001E-2</v>
      </c>
      <c r="M6897" s="1">
        <v>2.93E-2</v>
      </c>
      <c r="N6897" s="1">
        <v>6.6E-3</v>
      </c>
      <c r="O6897" s="1">
        <v>0.16520000000000001</v>
      </c>
      <c r="P6897" s="1">
        <v>0.14749999999999999</v>
      </c>
      <c r="Q6897" s="1">
        <v>3.8999999999999998E-3</v>
      </c>
      <c r="R6897" s="1">
        <v>2.64E-2</v>
      </c>
      <c r="S6897" s="1">
        <v>1.6000000000000001E-3</v>
      </c>
      <c r="T6897" s="1">
        <v>2.5700000000000001E-2</v>
      </c>
      <c r="U6897" s="1">
        <v>0.1192</v>
      </c>
      <c r="V6897" s="1">
        <v>1.61E-2</v>
      </c>
      <c r="W6897" s="1">
        <v>4.9200000000000001E-2</v>
      </c>
    </row>
    <row r="6898" spans="1:24" x14ac:dyDescent="0.25">
      <c r="A6898" t="s">
        <v>198</v>
      </c>
      <c r="B6898" t="s">
        <v>229</v>
      </c>
      <c r="C6898">
        <v>270</v>
      </c>
      <c r="D6898" t="s">
        <v>200</v>
      </c>
      <c r="E6898">
        <v>2630</v>
      </c>
      <c r="F6898" s="1">
        <v>0.10249999999999999</v>
      </c>
      <c r="G6898" s="1">
        <v>1.61E-2</v>
      </c>
      <c r="H6898" s="1">
        <v>0.47549999999999998</v>
      </c>
      <c r="K6898" s="1">
        <v>0.15709999999999999</v>
      </c>
      <c r="L6898" s="1">
        <v>2.9700000000000001E-2</v>
      </c>
      <c r="M6898" s="1">
        <v>1E-4</v>
      </c>
      <c r="N6898" s="1">
        <v>6.0000000000000001E-3</v>
      </c>
      <c r="O6898" s="1">
        <v>0.1384</v>
      </c>
      <c r="P6898" s="1">
        <v>0.1719</v>
      </c>
      <c r="Q6898" s="1">
        <v>3.0000000000000001E-3</v>
      </c>
      <c r="R6898" s="1">
        <v>6.7999999999999996E-3</v>
      </c>
      <c r="T6898" s="1">
        <v>8.3000000000000001E-3</v>
      </c>
      <c r="U6898" s="1">
        <v>0.11260000000000001</v>
      </c>
      <c r="V6898" s="1">
        <v>1.77E-2</v>
      </c>
      <c r="W6898" s="1">
        <v>2.9899999999999999E-2</v>
      </c>
    </row>
    <row r="6899" spans="1:24" x14ac:dyDescent="0.25">
      <c r="A6899" t="s">
        <v>198</v>
      </c>
      <c r="B6899" t="s">
        <v>228</v>
      </c>
      <c r="C6899">
        <v>112</v>
      </c>
      <c r="D6899" t="s">
        <v>200</v>
      </c>
      <c r="E6899">
        <v>2630</v>
      </c>
      <c r="F6899" s="1">
        <v>0.1447</v>
      </c>
      <c r="G6899" s="1">
        <v>6.4999999999999997E-3</v>
      </c>
      <c r="H6899" s="1">
        <v>0.3372</v>
      </c>
      <c r="K6899" s="1">
        <v>0.2555</v>
      </c>
      <c r="L6899" s="1">
        <v>1.67E-2</v>
      </c>
      <c r="M6899" s="1">
        <v>1.9300000000000001E-2</v>
      </c>
      <c r="N6899" s="1">
        <v>3.0000000000000001E-3</v>
      </c>
      <c r="O6899" s="1">
        <v>0.1862</v>
      </c>
      <c r="P6899" s="1">
        <v>0.17760000000000001</v>
      </c>
      <c r="T6899" s="1">
        <v>2.3800000000000002E-2</v>
      </c>
      <c r="U6899" s="1">
        <v>6.7799999999999999E-2</v>
      </c>
      <c r="V6899" s="1">
        <v>1.3299999999999999E-2</v>
      </c>
      <c r="W6899" s="1">
        <v>7.4999999999999997E-3</v>
      </c>
    </row>
    <row r="6900" spans="1:24" x14ac:dyDescent="0.25">
      <c r="A6900" t="s">
        <v>198</v>
      </c>
      <c r="B6900" t="s">
        <v>228</v>
      </c>
      <c r="C6900">
        <v>95</v>
      </c>
      <c r="D6900" t="s">
        <v>201</v>
      </c>
      <c r="E6900">
        <v>2630</v>
      </c>
      <c r="F6900" s="1">
        <v>7.1099999999999997E-2</v>
      </c>
      <c r="G6900" s="1">
        <v>5.7999999999999996E-3</v>
      </c>
      <c r="H6900" s="1">
        <v>0.47599999999999998</v>
      </c>
      <c r="K6900" s="1">
        <v>0.1447</v>
      </c>
      <c r="L6900" s="1">
        <v>2.8299999999999999E-2</v>
      </c>
      <c r="O6900" s="1">
        <v>0.10879999999999999</v>
      </c>
      <c r="P6900" s="1">
        <v>0.1168</v>
      </c>
      <c r="Q6900" s="1">
        <v>4.0800000000000003E-2</v>
      </c>
      <c r="R6900" s="1">
        <v>3.6400000000000002E-2</v>
      </c>
      <c r="S6900" s="1">
        <v>1.8100000000000002E-2</v>
      </c>
      <c r="T6900" s="1">
        <v>6.83E-2</v>
      </c>
      <c r="U6900" s="1">
        <v>0.1401</v>
      </c>
      <c r="V6900" s="1">
        <v>2.24E-2</v>
      </c>
      <c r="W6900" s="1">
        <v>2.24E-2</v>
      </c>
    </row>
    <row r="6901" spans="1:24" x14ac:dyDescent="0.25">
      <c r="A6901" t="s">
        <v>198</v>
      </c>
      <c r="B6901" t="s">
        <v>229</v>
      </c>
      <c r="C6901">
        <v>155</v>
      </c>
      <c r="D6901" t="s">
        <v>201</v>
      </c>
      <c r="E6901">
        <v>2630</v>
      </c>
      <c r="F6901" s="1">
        <v>8.1500000000000003E-2</v>
      </c>
      <c r="H6901" s="1">
        <v>0.5252</v>
      </c>
      <c r="I6901" s="1">
        <v>3.6900000000000002E-2</v>
      </c>
      <c r="K6901" s="1">
        <v>0.111</v>
      </c>
      <c r="L6901" s="1">
        <v>3.1899999999999998E-2</v>
      </c>
      <c r="M6901" s="1">
        <v>1.29E-2</v>
      </c>
      <c r="N6901" s="1">
        <v>1.2E-2</v>
      </c>
      <c r="O6901" s="1">
        <v>0.10539999999999999</v>
      </c>
      <c r="P6901" s="1">
        <v>9.8799999999999999E-2</v>
      </c>
      <c r="Q6901" s="1">
        <v>4.02E-2</v>
      </c>
      <c r="S6901" s="1">
        <v>1.6999999999999999E-3</v>
      </c>
      <c r="T6901" s="1">
        <v>1.29E-2</v>
      </c>
      <c r="U6901" s="1">
        <v>0.1661</v>
      </c>
      <c r="V6901" s="1">
        <v>3.2000000000000001E-2</v>
      </c>
      <c r="W6901" s="1">
        <v>5.9700000000000003E-2</v>
      </c>
    </row>
    <row r="6902" spans="1:24" s="29" customFormat="1" x14ac:dyDescent="0.25">
      <c r="A6902" s="29" t="s">
        <v>198</v>
      </c>
      <c r="B6902" s="29" t="s">
        <v>228</v>
      </c>
      <c r="C6902" s="29">
        <v>28</v>
      </c>
      <c r="D6902" s="29" t="s">
        <v>202</v>
      </c>
      <c r="E6902" s="29">
        <v>2630</v>
      </c>
      <c r="F6902" s="30">
        <v>4.0099999999999997E-2</v>
      </c>
      <c r="H6902" s="30">
        <v>0.29780000000000001</v>
      </c>
      <c r="J6902" s="30">
        <v>0.1067</v>
      </c>
      <c r="K6902" s="30">
        <v>0.4209</v>
      </c>
      <c r="L6902" s="30">
        <v>0.11749999999999999</v>
      </c>
      <c r="O6902" s="30">
        <v>0.27279999999999999</v>
      </c>
      <c r="P6902" s="30">
        <v>0.1129</v>
      </c>
      <c r="T6902" s="30">
        <v>0.11749999999999999</v>
      </c>
      <c r="U6902" s="30">
        <v>1.0699999999999999E-2</v>
      </c>
    </row>
    <row r="6903" spans="1:24" x14ac:dyDescent="0.25">
      <c r="A6903" t="s">
        <v>198</v>
      </c>
      <c r="B6903" t="s">
        <v>229</v>
      </c>
      <c r="C6903">
        <v>68</v>
      </c>
      <c r="D6903" t="s">
        <v>202</v>
      </c>
      <c r="E6903">
        <v>2630</v>
      </c>
      <c r="F6903" s="1">
        <v>5.7799999999999997E-2</v>
      </c>
      <c r="G6903" s="1">
        <v>7.6600000000000001E-2</v>
      </c>
      <c r="H6903" s="1">
        <v>0.504</v>
      </c>
      <c r="K6903" s="1">
        <v>0.14430000000000001</v>
      </c>
      <c r="L6903" s="1">
        <v>4.4299999999999999E-2</v>
      </c>
      <c r="M6903" s="1">
        <v>6.6E-3</v>
      </c>
      <c r="O6903" s="1">
        <v>8.5500000000000007E-2</v>
      </c>
      <c r="P6903" s="1">
        <v>9.6000000000000002E-2</v>
      </c>
      <c r="Q6903" s="1">
        <v>3.3E-3</v>
      </c>
      <c r="T6903" s="1">
        <v>3.3E-3</v>
      </c>
      <c r="U6903" s="1">
        <v>0.1023</v>
      </c>
      <c r="V6903" s="1">
        <v>3.3E-3</v>
      </c>
      <c r="W6903" s="1">
        <v>3.1099999999999999E-2</v>
      </c>
    </row>
    <row r="6904" spans="1:24" x14ac:dyDescent="0.25">
      <c r="A6904" t="s">
        <v>203</v>
      </c>
      <c r="B6904" t="s">
        <v>229</v>
      </c>
      <c r="C6904">
        <v>370</v>
      </c>
      <c r="D6904" t="s">
        <v>199</v>
      </c>
      <c r="E6904">
        <v>2630</v>
      </c>
      <c r="F6904" s="1">
        <v>0.46229999999999999</v>
      </c>
      <c r="G6904" s="1">
        <v>2.18E-2</v>
      </c>
      <c r="H6904" s="1">
        <v>0.26719999999999999</v>
      </c>
      <c r="I6904" s="1">
        <v>5.9999999999999995E-4</v>
      </c>
      <c r="K6904" s="1">
        <v>7.6100000000000001E-2</v>
      </c>
      <c r="L6904" s="1">
        <v>4.1999999999999997E-3</v>
      </c>
      <c r="M6904" s="1">
        <v>1.1999999999999999E-3</v>
      </c>
      <c r="N6904" s="1">
        <v>1.9E-2</v>
      </c>
      <c r="O6904" s="1">
        <v>5.1400000000000001E-2</v>
      </c>
      <c r="P6904" s="1">
        <v>0.1134</v>
      </c>
      <c r="Q6904" s="1">
        <v>2.7000000000000001E-3</v>
      </c>
      <c r="S6904" s="1">
        <v>2.0799999999999999E-2</v>
      </c>
      <c r="T6904" s="1">
        <v>1.1999999999999999E-3</v>
      </c>
      <c r="U6904" s="1">
        <v>6.4899999999999999E-2</v>
      </c>
      <c r="V6904" s="1">
        <v>2.4799999999999999E-2</v>
      </c>
      <c r="W6904" s="1">
        <v>3.61E-2</v>
      </c>
    </row>
    <row r="6905" spans="1:24" x14ac:dyDescent="0.25">
      <c r="A6905" t="s">
        <v>203</v>
      </c>
      <c r="B6905" t="s">
        <v>228</v>
      </c>
      <c r="C6905">
        <v>150</v>
      </c>
      <c r="D6905" t="s">
        <v>199</v>
      </c>
      <c r="E6905">
        <v>2630</v>
      </c>
      <c r="F6905" s="1">
        <v>0.18509999999999999</v>
      </c>
      <c r="G6905" s="1">
        <v>1.0500000000000001E-2</v>
      </c>
      <c r="H6905" s="1">
        <v>0.3901</v>
      </c>
      <c r="K6905" s="1">
        <v>0.1069</v>
      </c>
      <c r="L6905" s="1">
        <v>4.0899999999999999E-2</v>
      </c>
      <c r="M6905" s="1">
        <v>1.0800000000000001E-2</v>
      </c>
      <c r="N6905" s="1">
        <v>8.0699999999999994E-2</v>
      </c>
      <c r="O6905" s="1">
        <v>0.29189999999999999</v>
      </c>
      <c r="P6905" s="1">
        <v>0.25280000000000002</v>
      </c>
      <c r="S6905" s="1">
        <v>1.01E-2</v>
      </c>
      <c r="T6905" s="1">
        <v>1.5100000000000001E-2</v>
      </c>
      <c r="U6905" s="1">
        <v>1.78E-2</v>
      </c>
      <c r="V6905" s="1">
        <v>4.7999999999999996E-3</v>
      </c>
      <c r="W6905" s="1">
        <v>9.7000000000000003E-3</v>
      </c>
    </row>
    <row r="6906" spans="1:24" x14ac:dyDescent="0.25">
      <c r="A6906" t="s">
        <v>203</v>
      </c>
      <c r="B6906" t="s">
        <v>229</v>
      </c>
      <c r="C6906">
        <v>346</v>
      </c>
      <c r="D6906" t="s">
        <v>200</v>
      </c>
      <c r="E6906">
        <v>2630</v>
      </c>
      <c r="F6906" s="1">
        <v>0.5544</v>
      </c>
      <c r="G6906" s="1">
        <v>4.0399999999999998E-2</v>
      </c>
      <c r="H6906" s="1">
        <v>0.2495</v>
      </c>
      <c r="K6906" s="1">
        <v>6.93E-2</v>
      </c>
      <c r="L6906" s="1">
        <v>1.1999999999999999E-3</v>
      </c>
      <c r="N6906" s="1">
        <v>4.3E-3</v>
      </c>
      <c r="O6906" s="1">
        <v>7.7299999999999994E-2</v>
      </c>
      <c r="P6906" s="1">
        <v>9.06E-2</v>
      </c>
      <c r="U6906" s="1">
        <v>4.2099999999999999E-2</v>
      </c>
      <c r="V6906" s="1">
        <v>1.5E-3</v>
      </c>
      <c r="W6906" s="1">
        <v>2.2000000000000001E-3</v>
      </c>
      <c r="X6906" s="1">
        <v>1.6000000000000001E-3</v>
      </c>
    </row>
    <row r="6907" spans="1:24" x14ac:dyDescent="0.25">
      <c r="A6907" t="s">
        <v>203</v>
      </c>
      <c r="B6907" t="s">
        <v>228</v>
      </c>
      <c r="C6907">
        <v>155</v>
      </c>
      <c r="D6907" t="s">
        <v>200</v>
      </c>
      <c r="E6907">
        <v>2630</v>
      </c>
      <c r="F6907" s="1">
        <v>0.52480000000000004</v>
      </c>
      <c r="G6907" s="1">
        <v>2.2499999999999999E-2</v>
      </c>
      <c r="H6907" s="1">
        <v>0.2923</v>
      </c>
      <c r="K6907" s="1">
        <v>5.6500000000000002E-2</v>
      </c>
      <c r="O6907" s="1">
        <v>7.1400000000000005E-2</v>
      </c>
      <c r="P6907" s="1">
        <v>9.2299999999999993E-2</v>
      </c>
      <c r="U6907" s="1">
        <v>2.9000000000000001E-2</v>
      </c>
      <c r="W6907" s="1">
        <v>4.0000000000000002E-4</v>
      </c>
      <c r="X6907" s="1">
        <v>4.0000000000000002E-4</v>
      </c>
    </row>
    <row r="6908" spans="1:24" x14ac:dyDescent="0.25">
      <c r="A6908" t="s">
        <v>203</v>
      </c>
      <c r="B6908" t="s">
        <v>229</v>
      </c>
      <c r="C6908">
        <v>136</v>
      </c>
      <c r="D6908" t="s">
        <v>201</v>
      </c>
      <c r="E6908">
        <v>2630</v>
      </c>
      <c r="F6908" s="1">
        <v>0.34599999999999997</v>
      </c>
      <c r="G6908" s="1">
        <v>9.1999999999999998E-3</v>
      </c>
      <c r="H6908" s="1">
        <v>0.38719999999999999</v>
      </c>
      <c r="K6908" s="1">
        <v>5.9299999999999999E-2</v>
      </c>
      <c r="L6908" s="1">
        <v>2.0799999999999999E-2</v>
      </c>
      <c r="N6908" s="1">
        <v>9.1999999999999998E-3</v>
      </c>
      <c r="O6908" s="1">
        <v>6.1400000000000003E-2</v>
      </c>
      <c r="P6908" s="1">
        <v>4.7199999999999999E-2</v>
      </c>
      <c r="R6908" s="1">
        <v>1.0999999999999999E-2</v>
      </c>
      <c r="S6908" s="1">
        <v>3.0999999999999999E-3</v>
      </c>
      <c r="T6908" s="1">
        <v>1.5E-3</v>
      </c>
      <c r="U6908" s="1">
        <v>0.16420000000000001</v>
      </c>
      <c r="V6908" s="1">
        <v>1.32E-2</v>
      </c>
      <c r="W6908" s="1">
        <v>3.3999999999999998E-3</v>
      </c>
    </row>
    <row r="6909" spans="1:24" x14ac:dyDescent="0.25">
      <c r="A6909" t="s">
        <v>203</v>
      </c>
      <c r="B6909" t="s">
        <v>228</v>
      </c>
      <c r="C6909">
        <v>177</v>
      </c>
      <c r="D6909" t="s">
        <v>201</v>
      </c>
      <c r="E6909">
        <v>2630</v>
      </c>
      <c r="F6909" s="1">
        <v>0.15629999999999999</v>
      </c>
      <c r="G6909" s="1">
        <v>3.8E-3</v>
      </c>
      <c r="H6909" s="1">
        <v>0.58079999999999998</v>
      </c>
      <c r="J6909" s="1">
        <v>3.0000000000000001E-3</v>
      </c>
      <c r="K6909" s="1">
        <v>9.4700000000000006E-2</v>
      </c>
      <c r="L6909" s="1">
        <v>3.8399999999999997E-2</v>
      </c>
      <c r="M6909" s="1">
        <v>2.3099999999999999E-2</v>
      </c>
      <c r="O6909" s="1">
        <v>8.5599999999999996E-2</v>
      </c>
      <c r="P6909" s="1">
        <v>1.5800000000000002E-2</v>
      </c>
      <c r="Q6909" s="1">
        <v>3.44E-2</v>
      </c>
      <c r="S6909" s="1">
        <v>1.6000000000000001E-3</v>
      </c>
      <c r="U6909" s="1">
        <v>4.9299999999999997E-2</v>
      </c>
      <c r="V6909" s="1">
        <v>3.1399999999999997E-2</v>
      </c>
      <c r="W6909" s="1">
        <v>8.0000000000000004E-4</v>
      </c>
    </row>
    <row r="6910" spans="1:24" x14ac:dyDescent="0.25">
      <c r="A6910" t="s">
        <v>203</v>
      </c>
      <c r="B6910" t="s">
        <v>228</v>
      </c>
      <c r="C6910">
        <v>34</v>
      </c>
      <c r="D6910" t="s">
        <v>202</v>
      </c>
      <c r="E6910">
        <v>2630</v>
      </c>
      <c r="F6910" s="1">
        <v>0.41020000000000001</v>
      </c>
      <c r="G6910" s="1">
        <v>3.8399999999999997E-2</v>
      </c>
      <c r="H6910" s="1">
        <v>0.34010000000000001</v>
      </c>
      <c r="K6910" s="1">
        <v>6.2600000000000003E-2</v>
      </c>
      <c r="O6910" s="1">
        <v>4.7600000000000003E-2</v>
      </c>
      <c r="P6910" s="1">
        <v>8.1799999999999998E-2</v>
      </c>
      <c r="U6910" s="1">
        <v>4.9399999999999999E-2</v>
      </c>
      <c r="V6910" s="1">
        <v>1.7500000000000002E-2</v>
      </c>
      <c r="W6910" s="1">
        <v>1.32E-2</v>
      </c>
      <c r="X6910" s="1">
        <v>1.7500000000000002E-2</v>
      </c>
    </row>
    <row r="6911" spans="1:24" x14ac:dyDescent="0.25">
      <c r="A6911" t="s">
        <v>203</v>
      </c>
      <c r="B6911" t="s">
        <v>229</v>
      </c>
      <c r="C6911">
        <v>56</v>
      </c>
      <c r="D6911" t="s">
        <v>202</v>
      </c>
      <c r="E6911">
        <v>2630</v>
      </c>
      <c r="F6911" s="1">
        <v>0.5847</v>
      </c>
      <c r="G6911" s="1">
        <v>1.6500000000000001E-2</v>
      </c>
      <c r="H6911" s="1">
        <v>0.31230000000000002</v>
      </c>
      <c r="K6911" s="1">
        <v>2.64E-2</v>
      </c>
      <c r="O6911" s="1">
        <v>1.9099999999999999E-2</v>
      </c>
      <c r="P6911" s="1">
        <v>4.7899999999999998E-2</v>
      </c>
      <c r="Q6911" s="1">
        <v>6.8999999999999999E-3</v>
      </c>
      <c r="U6911" s="1">
        <v>1.2200000000000001E-2</v>
      </c>
      <c r="W6911" s="1">
        <v>1.2200000000000001E-2</v>
      </c>
    </row>
    <row r="6912" spans="1:24" x14ac:dyDescent="0.25">
      <c r="A6912" t="s">
        <v>204</v>
      </c>
      <c r="B6912" t="s">
        <v>204</v>
      </c>
      <c r="C6912">
        <v>2630</v>
      </c>
      <c r="D6912" t="s">
        <v>204</v>
      </c>
      <c r="E6912">
        <v>2630</v>
      </c>
      <c r="F6912" s="1">
        <v>0.30680000000000002</v>
      </c>
      <c r="G6912" s="1">
        <v>2.4299999999999999E-2</v>
      </c>
      <c r="H6912" s="1">
        <v>0.37019999999999997</v>
      </c>
      <c r="I6912" s="1">
        <v>1.4E-3</v>
      </c>
      <c r="J6912" s="1">
        <v>2.3999999999999998E-3</v>
      </c>
      <c r="K6912" s="1">
        <v>0.1217</v>
      </c>
      <c r="L6912" s="1">
        <v>2.5499999999999998E-2</v>
      </c>
      <c r="M6912" s="1">
        <v>5.4000000000000003E-3</v>
      </c>
      <c r="N6912" s="1">
        <v>7.4000000000000003E-3</v>
      </c>
      <c r="O6912" s="1">
        <v>0.1069</v>
      </c>
      <c r="P6912" s="1">
        <v>0.11650000000000001</v>
      </c>
      <c r="Q6912" s="1">
        <v>4.0000000000000001E-3</v>
      </c>
      <c r="R6912" s="1">
        <v>4.4000000000000003E-3</v>
      </c>
      <c r="S6912" s="1">
        <v>3.3E-3</v>
      </c>
      <c r="T6912" s="1">
        <v>1.01E-2</v>
      </c>
      <c r="U6912" s="1">
        <v>7.2300000000000003E-2</v>
      </c>
      <c r="V6912" s="1">
        <v>1.32E-2</v>
      </c>
      <c r="W6912" s="1">
        <v>1.7999999999999999E-2</v>
      </c>
      <c r="X6912" s="1">
        <v>6.9999999999999999E-4</v>
      </c>
    </row>
    <row r="6914" spans="1:24" x14ac:dyDescent="0.25">
      <c r="A6914" t="s">
        <v>1258</v>
      </c>
    </row>
    <row r="6915" spans="1:24" x14ac:dyDescent="0.25">
      <c r="A6915" t="s">
        <v>190</v>
      </c>
      <c r="B6915" t="s">
        <v>206</v>
      </c>
      <c r="C6915" t="s">
        <v>195</v>
      </c>
      <c r="D6915" t="s">
        <v>189</v>
      </c>
      <c r="E6915" t="s">
        <v>196</v>
      </c>
      <c r="F6915" t="s">
        <v>1242</v>
      </c>
      <c r="G6915" t="s">
        <v>388</v>
      </c>
      <c r="H6915" t="s">
        <v>271</v>
      </c>
      <c r="I6915" t="s">
        <v>235</v>
      </c>
      <c r="J6915" t="s">
        <v>215</v>
      </c>
      <c r="K6915" t="s">
        <v>1243</v>
      </c>
      <c r="L6915" t="s">
        <v>1244</v>
      </c>
      <c r="M6915" t="s">
        <v>1245</v>
      </c>
      <c r="N6915" t="s">
        <v>1246</v>
      </c>
      <c r="O6915" t="s">
        <v>1247</v>
      </c>
      <c r="P6915" t="s">
        <v>1248</v>
      </c>
      <c r="Q6915" t="s">
        <v>1249</v>
      </c>
      <c r="R6915" t="s">
        <v>1250</v>
      </c>
      <c r="S6915" t="s">
        <v>1251</v>
      </c>
      <c r="T6915" t="s">
        <v>1252</v>
      </c>
      <c r="U6915" t="s">
        <v>1253</v>
      </c>
      <c r="V6915" t="s">
        <v>1254</v>
      </c>
      <c r="W6915" t="s">
        <v>1255</v>
      </c>
      <c r="X6915" t="s">
        <v>1256</v>
      </c>
    </row>
    <row r="6916" spans="1:24" x14ac:dyDescent="0.25">
      <c r="A6916" t="s">
        <v>198</v>
      </c>
      <c r="B6916" t="s">
        <v>348</v>
      </c>
      <c r="C6916">
        <v>79</v>
      </c>
      <c r="D6916" t="s">
        <v>197</v>
      </c>
      <c r="E6916">
        <v>2630</v>
      </c>
      <c r="F6916" s="1">
        <v>7.6399999999999996E-2</v>
      </c>
      <c r="G6916" s="1">
        <v>7.7000000000000002E-3</v>
      </c>
      <c r="H6916" s="1">
        <v>0.4481</v>
      </c>
      <c r="K6916" s="1">
        <v>0.26690000000000003</v>
      </c>
      <c r="L6916" s="1">
        <v>0.1016</v>
      </c>
      <c r="M6916" s="1">
        <v>7.7000000000000002E-3</v>
      </c>
      <c r="O6916" s="1">
        <v>0.18140000000000001</v>
      </c>
      <c r="P6916" s="1">
        <v>0.17649999999999999</v>
      </c>
      <c r="R6916" s="1">
        <v>7.7000000000000002E-3</v>
      </c>
      <c r="T6916" s="1">
        <v>1.55E-2</v>
      </c>
      <c r="U6916" s="1">
        <v>6.3500000000000001E-2</v>
      </c>
      <c r="V6916" s="1">
        <v>5.1200000000000002E-2</v>
      </c>
    </row>
    <row r="6917" spans="1:24" s="29" customFormat="1" x14ac:dyDescent="0.25">
      <c r="A6917" s="29" t="s">
        <v>198</v>
      </c>
      <c r="B6917" s="29" t="s">
        <v>349</v>
      </c>
      <c r="C6917" s="29">
        <v>3</v>
      </c>
      <c r="D6917" s="29" t="s">
        <v>197</v>
      </c>
      <c r="E6917" s="29">
        <v>2630</v>
      </c>
      <c r="H6917" s="30">
        <v>0.66669999999999996</v>
      </c>
      <c r="P6917" s="30">
        <v>0.33329999999999999</v>
      </c>
    </row>
    <row r="6918" spans="1:24" x14ac:dyDescent="0.25">
      <c r="A6918" t="s">
        <v>198</v>
      </c>
      <c r="B6918" t="s">
        <v>348</v>
      </c>
      <c r="C6918">
        <v>54</v>
      </c>
      <c r="D6918" t="s">
        <v>199</v>
      </c>
      <c r="E6918">
        <v>2630</v>
      </c>
      <c r="F6918" s="1">
        <v>0.16339999999999999</v>
      </c>
      <c r="G6918" s="1">
        <v>2.3E-3</v>
      </c>
      <c r="H6918" s="1">
        <v>0.44869999999999999</v>
      </c>
      <c r="K6918" s="1">
        <v>0.26590000000000003</v>
      </c>
      <c r="L6918" s="1">
        <v>2.1700000000000001E-2</v>
      </c>
      <c r="M6918" s="1">
        <v>1.09E-2</v>
      </c>
      <c r="O6918" s="1">
        <v>0.24940000000000001</v>
      </c>
      <c r="P6918" s="1">
        <v>0.18190000000000001</v>
      </c>
      <c r="Q6918" s="1">
        <v>5.8999999999999999E-3</v>
      </c>
      <c r="T6918" s="1">
        <v>1.09E-2</v>
      </c>
      <c r="U6918" s="1">
        <v>1.41E-2</v>
      </c>
      <c r="V6918" s="1">
        <v>2.1700000000000001E-2</v>
      </c>
      <c r="W6918" s="1">
        <v>7.5200000000000003E-2</v>
      </c>
    </row>
    <row r="6919" spans="1:24" x14ac:dyDescent="0.25">
      <c r="A6919" t="s">
        <v>198</v>
      </c>
      <c r="B6919" t="s">
        <v>349</v>
      </c>
      <c r="C6919">
        <v>111</v>
      </c>
      <c r="D6919" t="s">
        <v>199</v>
      </c>
      <c r="E6919">
        <v>2630</v>
      </c>
      <c r="F6919" s="1">
        <v>0.12909999999999999</v>
      </c>
      <c r="H6919" s="1">
        <v>0.33760000000000001</v>
      </c>
      <c r="K6919" s="1">
        <v>0.158</v>
      </c>
      <c r="L6919" s="1">
        <v>8.6400000000000005E-2</v>
      </c>
      <c r="N6919" s="1">
        <v>1.0699999999999999E-2</v>
      </c>
      <c r="O6919" s="1">
        <v>0.21679999999999999</v>
      </c>
      <c r="P6919" s="1">
        <v>0.16619999999999999</v>
      </c>
      <c r="Q6919" s="1">
        <v>1.6000000000000001E-3</v>
      </c>
      <c r="R6919" s="1">
        <v>3.8699999999999998E-2</v>
      </c>
      <c r="S6919" s="1">
        <v>2E-3</v>
      </c>
      <c r="T6919" s="1">
        <v>5.1999999999999998E-2</v>
      </c>
      <c r="U6919" s="1">
        <v>0.16350000000000001</v>
      </c>
      <c r="V6919" s="1">
        <v>1.6E-2</v>
      </c>
      <c r="W6919" s="1">
        <v>4.0599999999999997E-2</v>
      </c>
      <c r="X6919" s="1">
        <v>6.9999999999999999E-4</v>
      </c>
    </row>
    <row r="6920" spans="1:24" x14ac:dyDescent="0.25">
      <c r="A6920" t="s">
        <v>198</v>
      </c>
      <c r="B6920" t="s">
        <v>350</v>
      </c>
      <c r="C6920">
        <v>192</v>
      </c>
      <c r="D6920" t="s">
        <v>199</v>
      </c>
      <c r="E6920">
        <v>2630</v>
      </c>
      <c r="F6920" s="1">
        <v>1.49E-2</v>
      </c>
      <c r="G6920" s="1">
        <v>4.7000000000000002E-3</v>
      </c>
      <c r="H6920" s="1">
        <v>0.68410000000000004</v>
      </c>
      <c r="K6920" s="1">
        <v>0.13789999999999999</v>
      </c>
      <c r="L6920" s="1">
        <v>1.0999999999999999E-2</v>
      </c>
      <c r="M6920" s="1">
        <v>5.1299999999999998E-2</v>
      </c>
      <c r="N6920" s="1">
        <v>1.7999999999999999E-2</v>
      </c>
      <c r="O6920" s="1">
        <v>8.8900000000000007E-2</v>
      </c>
      <c r="P6920" s="1">
        <v>0.1298</v>
      </c>
      <c r="Q6920" s="1">
        <v>7.1000000000000004E-3</v>
      </c>
      <c r="R6920" s="1">
        <v>5.0000000000000001E-3</v>
      </c>
      <c r="S6920" s="1">
        <v>5.4999999999999997E-3</v>
      </c>
      <c r="T6920" s="1">
        <v>8.0000000000000004E-4</v>
      </c>
      <c r="U6920" s="1">
        <v>4.5999999999999999E-2</v>
      </c>
      <c r="V6920" s="1">
        <v>9.9000000000000008E-3</v>
      </c>
      <c r="W6920" s="1">
        <v>2.06E-2</v>
      </c>
    </row>
    <row r="6921" spans="1:24" x14ac:dyDescent="0.25">
      <c r="A6921" t="s">
        <v>198</v>
      </c>
      <c r="B6921" t="s">
        <v>350</v>
      </c>
      <c r="C6921">
        <v>78</v>
      </c>
      <c r="D6921" t="s">
        <v>200</v>
      </c>
      <c r="E6921">
        <v>2630</v>
      </c>
      <c r="F6921" s="1">
        <v>4.24E-2</v>
      </c>
      <c r="G6921" s="1">
        <v>1.1299999999999999E-2</v>
      </c>
      <c r="H6921" s="1">
        <v>0.63090000000000002</v>
      </c>
      <c r="K6921" s="1">
        <v>0.15029999999999999</v>
      </c>
      <c r="L6921" s="1">
        <v>4.3400000000000001E-2</v>
      </c>
      <c r="M6921" s="1">
        <v>1.4E-3</v>
      </c>
      <c r="N6921" s="1">
        <v>9.9000000000000008E-3</v>
      </c>
      <c r="O6921" s="1">
        <v>0.1467</v>
      </c>
      <c r="P6921" s="1">
        <v>0.2001</v>
      </c>
      <c r="Q6921" s="1">
        <v>3.2099999999999997E-2</v>
      </c>
      <c r="U6921" s="1">
        <v>6.7000000000000004E-2</v>
      </c>
      <c r="V6921" s="1">
        <v>3.2099999999999997E-2</v>
      </c>
      <c r="W6921" s="1">
        <v>3.2099999999999997E-2</v>
      </c>
    </row>
    <row r="6922" spans="1:24" x14ac:dyDescent="0.25">
      <c r="A6922" t="s">
        <v>198</v>
      </c>
      <c r="B6922" t="s">
        <v>348</v>
      </c>
      <c r="C6922">
        <v>242</v>
      </c>
      <c r="D6922" t="s">
        <v>200</v>
      </c>
      <c r="E6922">
        <v>2630</v>
      </c>
      <c r="F6922" s="1">
        <v>0.1177</v>
      </c>
      <c r="G6922" s="1">
        <v>1.49E-2</v>
      </c>
      <c r="H6922" s="1">
        <v>0.436</v>
      </c>
      <c r="K6922" s="1">
        <v>0.16900000000000001</v>
      </c>
      <c r="L6922" s="1">
        <v>2.64E-2</v>
      </c>
      <c r="M6922" s="1">
        <v>4.4000000000000003E-3</v>
      </c>
      <c r="N6922" s="1">
        <v>5.3E-3</v>
      </c>
      <c r="O6922" s="1">
        <v>0.14530000000000001</v>
      </c>
      <c r="P6922" s="1">
        <v>0.16839999999999999</v>
      </c>
      <c r="R6922" s="1">
        <v>5.3E-3</v>
      </c>
      <c r="T6922" s="1">
        <v>1.37E-2</v>
      </c>
      <c r="U6922" s="1">
        <v>0.105</v>
      </c>
      <c r="V6922" s="1">
        <v>1.5800000000000002E-2</v>
      </c>
      <c r="W6922" s="1">
        <v>2.4799999999999999E-2</v>
      </c>
    </row>
    <row r="6923" spans="1:24" x14ac:dyDescent="0.25">
      <c r="A6923" t="s">
        <v>198</v>
      </c>
      <c r="B6923" t="s">
        <v>349</v>
      </c>
      <c r="C6923">
        <v>62</v>
      </c>
      <c r="D6923" t="s">
        <v>200</v>
      </c>
      <c r="E6923">
        <v>2630</v>
      </c>
      <c r="F6923" s="1">
        <v>0.1181</v>
      </c>
      <c r="H6923" s="1">
        <v>0.32300000000000001</v>
      </c>
      <c r="K6923" s="1">
        <v>0.38150000000000001</v>
      </c>
      <c r="L6923" s="1">
        <v>1.0800000000000001E-2</v>
      </c>
      <c r="M6923" s="1">
        <v>1.2E-2</v>
      </c>
      <c r="O6923" s="1">
        <v>0.21640000000000001</v>
      </c>
      <c r="P6923" s="1">
        <v>0.21199999999999999</v>
      </c>
      <c r="R6923" s="1">
        <v>1.0800000000000001E-2</v>
      </c>
      <c r="U6923" s="1">
        <v>0.1018</v>
      </c>
      <c r="V6923" s="1">
        <v>1.0800000000000001E-2</v>
      </c>
      <c r="W6923" s="1">
        <v>1.2500000000000001E-2</v>
      </c>
    </row>
    <row r="6924" spans="1:24" x14ac:dyDescent="0.25">
      <c r="A6924" t="s">
        <v>198</v>
      </c>
      <c r="B6924" t="s">
        <v>349</v>
      </c>
      <c r="C6924">
        <v>125</v>
      </c>
      <c r="D6924" t="s">
        <v>201</v>
      </c>
      <c r="E6924">
        <v>2630</v>
      </c>
      <c r="F6924" s="1">
        <v>8.0199999999999994E-2</v>
      </c>
      <c r="G6924" s="1">
        <v>1.8E-3</v>
      </c>
      <c r="H6924" s="1">
        <v>0.52490000000000003</v>
      </c>
      <c r="I6924" s="1">
        <v>4.0800000000000003E-2</v>
      </c>
      <c r="K6924" s="1">
        <v>0.1187</v>
      </c>
      <c r="L6924" s="1">
        <v>3.4200000000000001E-2</v>
      </c>
      <c r="M6924" s="1">
        <v>1.3599999999999999E-2</v>
      </c>
      <c r="N6924" s="1">
        <v>1.3599999999999999E-2</v>
      </c>
      <c r="O6924" s="1">
        <v>0.1187</v>
      </c>
      <c r="P6924" s="1">
        <v>0.1108</v>
      </c>
      <c r="Q6924" s="1">
        <v>3.7499999999999999E-2</v>
      </c>
      <c r="S6924" s="1">
        <v>5.1999999999999998E-3</v>
      </c>
      <c r="T6924" s="1">
        <v>1.3599999999999999E-2</v>
      </c>
      <c r="U6924" s="1">
        <v>0.1608</v>
      </c>
      <c r="V6924" s="1">
        <v>3.5200000000000002E-2</v>
      </c>
      <c r="W6924" s="1">
        <v>7.17E-2</v>
      </c>
    </row>
    <row r="6925" spans="1:24" x14ac:dyDescent="0.25">
      <c r="A6925" t="s">
        <v>198</v>
      </c>
      <c r="B6925" t="s">
        <v>350</v>
      </c>
      <c r="C6925">
        <v>63</v>
      </c>
      <c r="D6925" t="s">
        <v>201</v>
      </c>
      <c r="E6925">
        <v>2630</v>
      </c>
      <c r="F6925" s="1">
        <v>2.9399999999999999E-2</v>
      </c>
      <c r="H6925" s="1">
        <v>0.74160000000000004</v>
      </c>
      <c r="I6925" s="1">
        <v>1.47E-2</v>
      </c>
      <c r="K6925" s="1">
        <v>2.9399999999999999E-2</v>
      </c>
      <c r="L6925" s="1">
        <v>1.47E-2</v>
      </c>
      <c r="M6925" s="1">
        <v>1.47E-2</v>
      </c>
      <c r="O6925" s="1">
        <v>8.6499999999999994E-2</v>
      </c>
      <c r="P6925" s="1">
        <v>8.6499999999999994E-2</v>
      </c>
      <c r="Q6925" s="1">
        <v>6.8999999999999999E-3</v>
      </c>
      <c r="S6925" s="1">
        <v>3.6299999999999999E-2</v>
      </c>
      <c r="T6925" s="1">
        <v>1.47E-2</v>
      </c>
      <c r="U6925" s="1">
        <v>9.9199999999999997E-2</v>
      </c>
      <c r="V6925" s="1">
        <v>2.9399999999999999E-2</v>
      </c>
      <c r="W6925" s="1">
        <v>1.47E-2</v>
      </c>
    </row>
    <row r="6926" spans="1:24" x14ac:dyDescent="0.25">
      <c r="A6926" t="s">
        <v>198</v>
      </c>
      <c r="B6926" t="s">
        <v>348</v>
      </c>
      <c r="C6926">
        <v>62</v>
      </c>
      <c r="D6926" t="s">
        <v>201</v>
      </c>
      <c r="E6926">
        <v>2630</v>
      </c>
      <c r="F6926" s="1">
        <v>8.5699999999999998E-2</v>
      </c>
      <c r="H6926" s="1">
        <v>0.44700000000000001</v>
      </c>
      <c r="K6926" s="1">
        <v>0.1328</v>
      </c>
      <c r="L6926" s="1">
        <v>2.5700000000000001E-2</v>
      </c>
      <c r="O6926" s="1">
        <v>7.6100000000000001E-2</v>
      </c>
      <c r="P6926" s="1">
        <v>8.4000000000000005E-2</v>
      </c>
      <c r="Q6926" s="1">
        <v>5.3600000000000002E-2</v>
      </c>
      <c r="R6926" s="1">
        <v>0.03</v>
      </c>
      <c r="T6926" s="1">
        <v>5.6399999999999999E-2</v>
      </c>
      <c r="U6926" s="1">
        <v>0.17050000000000001</v>
      </c>
      <c r="V6926" s="1">
        <v>1.61E-2</v>
      </c>
      <c r="W6926" s="1">
        <v>4.7999999999999996E-3</v>
      </c>
    </row>
    <row r="6927" spans="1:24" x14ac:dyDescent="0.25">
      <c r="A6927" t="s">
        <v>198</v>
      </c>
      <c r="B6927" t="s">
        <v>348</v>
      </c>
      <c r="C6927">
        <v>96</v>
      </c>
      <c r="D6927" t="s">
        <v>202</v>
      </c>
      <c r="E6927">
        <v>2630</v>
      </c>
      <c r="F6927" s="1">
        <v>5.3699999999999998E-2</v>
      </c>
      <c r="G6927" s="1">
        <v>5.8500000000000003E-2</v>
      </c>
      <c r="H6927" s="1">
        <v>0.45519999999999999</v>
      </c>
      <c r="J6927" s="1">
        <v>2.52E-2</v>
      </c>
      <c r="K6927" s="1">
        <v>0.2097</v>
      </c>
      <c r="L6927" s="1">
        <v>6.1600000000000002E-2</v>
      </c>
      <c r="M6927" s="1">
        <v>5.1000000000000004E-3</v>
      </c>
      <c r="O6927" s="1">
        <v>0.12970000000000001</v>
      </c>
      <c r="P6927" s="1">
        <v>0.1</v>
      </c>
      <c r="Q6927" s="1">
        <v>2.5000000000000001E-3</v>
      </c>
      <c r="T6927" s="1">
        <v>3.0300000000000001E-2</v>
      </c>
      <c r="U6927" s="1">
        <v>8.0699999999999994E-2</v>
      </c>
      <c r="V6927" s="1">
        <v>2.5000000000000001E-3</v>
      </c>
      <c r="W6927" s="1">
        <v>2.3800000000000002E-2</v>
      </c>
    </row>
    <row r="6928" spans="1:24" x14ac:dyDescent="0.25">
      <c r="A6928" t="s">
        <v>203</v>
      </c>
      <c r="B6928" t="s">
        <v>349</v>
      </c>
      <c r="C6928">
        <v>171</v>
      </c>
      <c r="D6928" t="s">
        <v>199</v>
      </c>
      <c r="E6928">
        <v>2630</v>
      </c>
      <c r="F6928" s="1">
        <v>0.59719999999999995</v>
      </c>
      <c r="G6928" s="1">
        <v>7.1000000000000004E-3</v>
      </c>
      <c r="H6928" s="1">
        <v>0.20619999999999999</v>
      </c>
      <c r="K6928" s="1">
        <v>7.9500000000000001E-2</v>
      </c>
      <c r="L6928" s="1">
        <v>2.2499999999999999E-2</v>
      </c>
      <c r="O6928" s="1">
        <v>9.69E-2</v>
      </c>
      <c r="P6928" s="1">
        <v>8.3299999999999999E-2</v>
      </c>
      <c r="T6928" s="1">
        <v>1.6999999999999999E-3</v>
      </c>
      <c r="U6928" s="1">
        <v>0.03</v>
      </c>
      <c r="V6928" s="1">
        <v>1.3100000000000001E-2</v>
      </c>
      <c r="W6928" s="1">
        <v>1.47E-2</v>
      </c>
    </row>
    <row r="6929" spans="1:24" x14ac:dyDescent="0.25">
      <c r="A6929" t="s">
        <v>203</v>
      </c>
      <c r="B6929" t="s">
        <v>348</v>
      </c>
      <c r="C6929">
        <v>42</v>
      </c>
      <c r="D6929" t="s">
        <v>199</v>
      </c>
      <c r="E6929">
        <v>2630</v>
      </c>
      <c r="F6929" s="1">
        <v>0.48480000000000001</v>
      </c>
      <c r="G6929" s="1">
        <v>5.1000000000000004E-3</v>
      </c>
      <c r="H6929" s="1">
        <v>0.13739999999999999</v>
      </c>
      <c r="K6929" s="1">
        <v>7.1800000000000003E-2</v>
      </c>
      <c r="L6929" s="1">
        <v>5.1000000000000004E-3</v>
      </c>
      <c r="O6929" s="1">
        <v>8.8499999999999995E-2</v>
      </c>
      <c r="P6929" s="1">
        <v>0.17699999999999999</v>
      </c>
      <c r="Q6929" s="1">
        <v>3.1800000000000002E-2</v>
      </c>
      <c r="U6929" s="1">
        <v>0.12909999999999999</v>
      </c>
      <c r="V6929" s="1">
        <v>0.01</v>
      </c>
      <c r="W6929" s="1">
        <v>3.1800000000000002E-2</v>
      </c>
    </row>
    <row r="6930" spans="1:24" x14ac:dyDescent="0.25">
      <c r="A6930" t="s">
        <v>203</v>
      </c>
      <c r="B6930" t="s">
        <v>350</v>
      </c>
      <c r="C6930">
        <v>307</v>
      </c>
      <c r="D6930" t="s">
        <v>199</v>
      </c>
      <c r="E6930">
        <v>2630</v>
      </c>
      <c r="F6930" s="1">
        <v>0.34560000000000002</v>
      </c>
      <c r="G6930" s="1">
        <v>2.8500000000000001E-2</v>
      </c>
      <c r="H6930" s="1">
        <v>0.32750000000000001</v>
      </c>
      <c r="I6930" s="1">
        <v>8.9999999999999998E-4</v>
      </c>
      <c r="K6930" s="1">
        <v>7.9699999999999993E-2</v>
      </c>
      <c r="L6930" s="1">
        <v>8.0000000000000004E-4</v>
      </c>
      <c r="M6930" s="1">
        <v>3.5000000000000001E-3</v>
      </c>
      <c r="N6930" s="1">
        <v>4.02E-2</v>
      </c>
      <c r="O6930" s="1">
        <v>6.5699999999999995E-2</v>
      </c>
      <c r="P6930" s="1">
        <v>0.1477</v>
      </c>
      <c r="Q6930" s="1">
        <v>1.8E-3</v>
      </c>
      <c r="S6930" s="1">
        <v>3.1E-2</v>
      </c>
      <c r="T6930" s="1">
        <v>3.3999999999999998E-3</v>
      </c>
      <c r="U6930" s="1">
        <v>7.0699999999999999E-2</v>
      </c>
      <c r="V6930" s="1">
        <v>2.8500000000000001E-2</v>
      </c>
      <c r="W6930" s="1">
        <v>4.2900000000000001E-2</v>
      </c>
    </row>
    <row r="6931" spans="1:24" x14ac:dyDescent="0.25">
      <c r="A6931" t="s">
        <v>203</v>
      </c>
      <c r="B6931" t="s">
        <v>348</v>
      </c>
      <c r="C6931">
        <v>299</v>
      </c>
      <c r="D6931" t="s">
        <v>200</v>
      </c>
      <c r="E6931">
        <v>2630</v>
      </c>
      <c r="F6931" s="1">
        <v>0.57040000000000002</v>
      </c>
      <c r="G6931" s="1">
        <v>3.9699999999999999E-2</v>
      </c>
      <c r="H6931" s="1">
        <v>0.24709999999999999</v>
      </c>
      <c r="K6931" s="1">
        <v>6.0400000000000002E-2</v>
      </c>
      <c r="L6931" s="1">
        <v>5.0000000000000001E-4</v>
      </c>
      <c r="O6931" s="1">
        <v>6.5000000000000002E-2</v>
      </c>
      <c r="P6931" s="1">
        <v>8.3299999999999999E-2</v>
      </c>
      <c r="U6931" s="1">
        <v>4.0500000000000001E-2</v>
      </c>
    </row>
    <row r="6932" spans="1:24" x14ac:dyDescent="0.25">
      <c r="A6932" t="s">
        <v>203</v>
      </c>
      <c r="B6932" t="s">
        <v>349</v>
      </c>
      <c r="C6932">
        <v>108</v>
      </c>
      <c r="D6932" t="s">
        <v>200</v>
      </c>
      <c r="E6932">
        <v>2630</v>
      </c>
      <c r="F6932" s="1">
        <v>0.46779999999999999</v>
      </c>
      <c r="H6932" s="1">
        <v>0.20960000000000001</v>
      </c>
      <c r="K6932" s="1">
        <v>0.14449999999999999</v>
      </c>
      <c r="L6932" s="1">
        <v>6.4999999999999997E-3</v>
      </c>
      <c r="N6932" s="1">
        <v>3.0599999999999999E-2</v>
      </c>
      <c r="O6932" s="1">
        <v>0.21829999999999999</v>
      </c>
      <c r="P6932" s="1">
        <v>0.19989999999999999</v>
      </c>
      <c r="U6932" s="1">
        <v>4.4900000000000002E-2</v>
      </c>
      <c r="V6932" s="1">
        <v>1.5299999999999999E-2</v>
      </c>
      <c r="W6932" s="1">
        <v>2.1700000000000001E-2</v>
      </c>
      <c r="X6932" s="1">
        <v>1.6199999999999999E-2</v>
      </c>
    </row>
    <row r="6933" spans="1:24" x14ac:dyDescent="0.25">
      <c r="A6933" t="s">
        <v>203</v>
      </c>
      <c r="B6933" t="s">
        <v>350</v>
      </c>
      <c r="C6933">
        <v>94</v>
      </c>
      <c r="D6933" t="s">
        <v>200</v>
      </c>
      <c r="E6933">
        <v>2630</v>
      </c>
      <c r="F6933" s="1">
        <v>0.16539999999999999</v>
      </c>
      <c r="G6933" s="1">
        <v>4.9799999999999997E-2</v>
      </c>
      <c r="H6933" s="1">
        <v>0.65649999999999997</v>
      </c>
      <c r="K6933" s="1">
        <v>5.0999999999999997E-2</v>
      </c>
      <c r="N6933" s="1">
        <v>3.09E-2</v>
      </c>
      <c r="O6933" s="1">
        <v>3.3099999999999997E-2</v>
      </c>
      <c r="P6933" s="1">
        <v>3.15E-2</v>
      </c>
      <c r="U6933" s="1">
        <v>2.2000000000000001E-3</v>
      </c>
      <c r="W6933" s="1">
        <v>2.2000000000000001E-3</v>
      </c>
      <c r="X6933" s="1">
        <v>2.2000000000000001E-3</v>
      </c>
    </row>
    <row r="6934" spans="1:24" x14ac:dyDescent="0.25">
      <c r="A6934" t="s">
        <v>203</v>
      </c>
      <c r="B6934" t="s">
        <v>348</v>
      </c>
      <c r="C6934">
        <v>62</v>
      </c>
      <c r="D6934" t="s">
        <v>201</v>
      </c>
      <c r="E6934">
        <v>2630</v>
      </c>
      <c r="F6934" s="1">
        <v>0.30640000000000001</v>
      </c>
      <c r="G6934" s="1">
        <v>6.4999999999999997E-3</v>
      </c>
      <c r="H6934" s="1">
        <v>0.27439999999999998</v>
      </c>
      <c r="J6934" s="1">
        <v>6.4999999999999997E-3</v>
      </c>
      <c r="K6934" s="1">
        <v>0.1113</v>
      </c>
      <c r="L6934" s="1">
        <v>1.32E-2</v>
      </c>
      <c r="O6934" s="1">
        <v>0.1741</v>
      </c>
      <c r="P6934" s="1">
        <v>7.4800000000000005E-2</v>
      </c>
      <c r="Q6934" s="1">
        <v>7.2800000000000004E-2</v>
      </c>
      <c r="R6934" s="1">
        <v>1.26E-2</v>
      </c>
      <c r="U6934" s="1">
        <v>0.1038</v>
      </c>
      <c r="W6934" s="1">
        <v>1.29E-2</v>
      </c>
    </row>
    <row r="6935" spans="1:24" x14ac:dyDescent="0.25">
      <c r="A6935" t="s">
        <v>203</v>
      </c>
      <c r="B6935" t="s">
        <v>349</v>
      </c>
      <c r="C6935">
        <v>147</v>
      </c>
      <c r="D6935" t="s">
        <v>201</v>
      </c>
      <c r="E6935">
        <v>2630</v>
      </c>
      <c r="F6935" s="1">
        <v>0.3256</v>
      </c>
      <c r="G6935" s="1">
        <v>8.5000000000000006E-3</v>
      </c>
      <c r="H6935" s="1">
        <v>0.41949999999999998</v>
      </c>
      <c r="K6935" s="1">
        <v>6.0199999999999997E-2</v>
      </c>
      <c r="L6935" s="1">
        <v>2.8799999999999999E-2</v>
      </c>
      <c r="M6935" s="1">
        <v>6.7999999999999996E-3</v>
      </c>
      <c r="N6935" s="1">
        <v>8.5000000000000006E-3</v>
      </c>
      <c r="O6935" s="1">
        <v>5.2600000000000001E-2</v>
      </c>
      <c r="P6935" s="1">
        <v>3.5299999999999998E-2</v>
      </c>
      <c r="Q6935" s="1">
        <v>2.0000000000000001E-4</v>
      </c>
      <c r="R6935" s="1">
        <v>8.5000000000000006E-3</v>
      </c>
      <c r="U6935" s="1">
        <v>0.14929999999999999</v>
      </c>
      <c r="V6935" s="1">
        <v>0.02</v>
      </c>
      <c r="W6935" s="1">
        <v>2.0000000000000001E-4</v>
      </c>
    </row>
    <row r="6936" spans="1:24" x14ac:dyDescent="0.25">
      <c r="A6936" t="s">
        <v>203</v>
      </c>
      <c r="B6936" t="s">
        <v>350</v>
      </c>
      <c r="C6936">
        <v>104</v>
      </c>
      <c r="D6936" t="s">
        <v>201</v>
      </c>
      <c r="E6936">
        <v>2630</v>
      </c>
      <c r="G6936" s="1">
        <v>2.8E-3</v>
      </c>
      <c r="H6936" s="1">
        <v>0.84560000000000002</v>
      </c>
      <c r="K6936" s="1">
        <v>8.8099999999999998E-2</v>
      </c>
      <c r="O6936" s="1">
        <v>6.88E-2</v>
      </c>
      <c r="P6936" s="1">
        <v>3.5799999999999998E-2</v>
      </c>
      <c r="S6936" s="1">
        <v>3.8600000000000002E-2</v>
      </c>
      <c r="T6936" s="1">
        <v>1.6500000000000001E-2</v>
      </c>
      <c r="U6936" s="1">
        <v>4.1399999999999999E-2</v>
      </c>
      <c r="V6936" s="1">
        <v>1.6500000000000001E-2</v>
      </c>
      <c r="W6936" s="1">
        <v>1.6500000000000001E-2</v>
      </c>
    </row>
    <row r="6937" spans="1:24" x14ac:dyDescent="0.25">
      <c r="A6937" t="s">
        <v>203</v>
      </c>
      <c r="B6937" t="s">
        <v>348</v>
      </c>
      <c r="C6937">
        <v>90</v>
      </c>
      <c r="D6937" t="s">
        <v>202</v>
      </c>
      <c r="E6937">
        <v>2630</v>
      </c>
      <c r="F6937" s="1">
        <v>0.53539999999999999</v>
      </c>
      <c r="G6937" s="1">
        <v>2.2700000000000001E-2</v>
      </c>
      <c r="H6937" s="1">
        <v>0.32019999999999998</v>
      </c>
      <c r="K6937" s="1">
        <v>3.6600000000000001E-2</v>
      </c>
      <c r="O6937" s="1">
        <v>2.7199999999999998E-2</v>
      </c>
      <c r="P6937" s="1">
        <v>5.7500000000000002E-2</v>
      </c>
      <c r="Q6937" s="1">
        <v>4.8999999999999998E-3</v>
      </c>
      <c r="U6937" s="1">
        <v>2.2700000000000001E-2</v>
      </c>
      <c r="V6937" s="1">
        <v>4.8999999999999998E-3</v>
      </c>
      <c r="W6937" s="1">
        <v>1.2500000000000001E-2</v>
      </c>
      <c r="X6937" s="1">
        <v>4.8999999999999998E-3</v>
      </c>
    </row>
    <row r="6938" spans="1:24" x14ac:dyDescent="0.25">
      <c r="A6938" t="s">
        <v>204</v>
      </c>
      <c r="B6938" t="s">
        <v>204</v>
      </c>
      <c r="C6938">
        <v>2630</v>
      </c>
      <c r="D6938" t="s">
        <v>204</v>
      </c>
      <c r="E6938">
        <v>2630</v>
      </c>
      <c r="F6938" s="1">
        <v>0.30680000000000002</v>
      </c>
      <c r="G6938" s="1">
        <v>2.4299999999999999E-2</v>
      </c>
      <c r="H6938" s="1">
        <v>0.37019999999999997</v>
      </c>
      <c r="I6938" s="1">
        <v>1.4E-3</v>
      </c>
      <c r="J6938" s="1">
        <v>2.3999999999999998E-3</v>
      </c>
      <c r="K6938" s="1">
        <v>0.1217</v>
      </c>
      <c r="L6938" s="1">
        <v>2.5499999999999998E-2</v>
      </c>
      <c r="M6938" s="1">
        <v>5.4000000000000003E-3</v>
      </c>
      <c r="N6938" s="1">
        <v>7.4000000000000003E-3</v>
      </c>
      <c r="O6938" s="1">
        <v>0.1069</v>
      </c>
      <c r="P6938" s="1">
        <v>0.11650000000000001</v>
      </c>
      <c r="Q6938" s="1">
        <v>4.0000000000000001E-3</v>
      </c>
      <c r="R6938" s="1">
        <v>4.4000000000000003E-3</v>
      </c>
      <c r="S6938" s="1">
        <v>3.3E-3</v>
      </c>
      <c r="T6938" s="1">
        <v>1.01E-2</v>
      </c>
      <c r="U6938" s="1">
        <v>7.2300000000000003E-2</v>
      </c>
      <c r="V6938" s="1">
        <v>1.32E-2</v>
      </c>
      <c r="W6938" s="1">
        <v>1.7999999999999999E-2</v>
      </c>
      <c r="X6938" s="1">
        <v>6.9999999999999999E-4</v>
      </c>
    </row>
    <row r="6940" spans="1:24" x14ac:dyDescent="0.25">
      <c r="A6940" t="s">
        <v>1259</v>
      </c>
    </row>
    <row r="6941" spans="1:24" x14ac:dyDescent="0.25">
      <c r="A6941" t="s">
        <v>190</v>
      </c>
      <c r="B6941" t="s">
        <v>195</v>
      </c>
      <c r="C6941" t="s">
        <v>189</v>
      </c>
      <c r="D6941" t="s">
        <v>196</v>
      </c>
      <c r="E6941" t="s">
        <v>1260</v>
      </c>
      <c r="F6941" t="s">
        <v>1261</v>
      </c>
      <c r="G6941" t="s">
        <v>215</v>
      </c>
      <c r="H6941" t="s">
        <v>1262</v>
      </c>
      <c r="I6941" t="s">
        <v>1263</v>
      </c>
      <c r="J6941" t="s">
        <v>1264</v>
      </c>
    </row>
    <row r="6942" spans="1:24" x14ac:dyDescent="0.25">
      <c r="A6942" t="s">
        <v>198</v>
      </c>
      <c r="B6942">
        <v>51</v>
      </c>
      <c r="C6942" t="s">
        <v>197</v>
      </c>
      <c r="D6942">
        <v>1558</v>
      </c>
      <c r="F6942" s="1">
        <v>0.24840000000000001</v>
      </c>
      <c r="H6942" s="1">
        <v>0.47460000000000002</v>
      </c>
      <c r="J6942" s="1">
        <v>0.27700000000000002</v>
      </c>
    </row>
    <row r="6943" spans="1:24" x14ac:dyDescent="0.25">
      <c r="A6943" t="s">
        <v>198</v>
      </c>
      <c r="B6943">
        <v>311</v>
      </c>
      <c r="C6943" t="s">
        <v>199</v>
      </c>
      <c r="D6943">
        <v>1558</v>
      </c>
      <c r="E6943" s="1">
        <v>2.0799999999999999E-2</v>
      </c>
      <c r="F6943" s="1">
        <v>0.1038</v>
      </c>
      <c r="G6943" s="1">
        <v>2.5000000000000001E-3</v>
      </c>
      <c r="H6943" s="1">
        <v>0.70430000000000004</v>
      </c>
      <c r="J6943" s="1">
        <v>0.16850000000000001</v>
      </c>
    </row>
    <row r="6944" spans="1:24" x14ac:dyDescent="0.25">
      <c r="A6944" t="s">
        <v>198</v>
      </c>
      <c r="B6944">
        <v>250</v>
      </c>
      <c r="C6944" t="s">
        <v>200</v>
      </c>
      <c r="D6944">
        <v>1558</v>
      </c>
      <c r="E6944" s="1">
        <v>7.8399999999999997E-2</v>
      </c>
      <c r="F6944" s="1">
        <v>0.1452</v>
      </c>
      <c r="G6944" s="1">
        <v>7.6E-3</v>
      </c>
      <c r="H6944" s="1">
        <v>0.59030000000000005</v>
      </c>
      <c r="I6944" s="1">
        <v>1.6E-2</v>
      </c>
      <c r="J6944" s="1">
        <v>0.16259999999999999</v>
      </c>
    </row>
    <row r="6945" spans="1:11" x14ac:dyDescent="0.25">
      <c r="A6945" t="s">
        <v>198</v>
      </c>
      <c r="B6945">
        <v>197</v>
      </c>
      <c r="C6945" t="s">
        <v>201</v>
      </c>
      <c r="D6945">
        <v>1558</v>
      </c>
      <c r="E6945" s="1">
        <v>5.79E-2</v>
      </c>
      <c r="F6945" s="1">
        <v>8.5500000000000007E-2</v>
      </c>
      <c r="H6945" s="1">
        <v>0.71009999999999995</v>
      </c>
      <c r="I6945" s="1">
        <v>4.7000000000000002E-3</v>
      </c>
      <c r="J6945" s="1">
        <v>0.14180000000000001</v>
      </c>
    </row>
    <row r="6946" spans="1:11" x14ac:dyDescent="0.25">
      <c r="A6946" t="s">
        <v>198</v>
      </c>
      <c r="B6946">
        <v>71</v>
      </c>
      <c r="C6946" t="s">
        <v>202</v>
      </c>
      <c r="D6946">
        <v>1558</v>
      </c>
      <c r="E6946" s="1">
        <v>2.1999999999999999E-2</v>
      </c>
      <c r="F6946" s="1">
        <v>8.1299999999999997E-2</v>
      </c>
      <c r="G6946" s="1">
        <v>2.0799999999999999E-2</v>
      </c>
      <c r="H6946" s="1">
        <v>0.71709999999999996</v>
      </c>
      <c r="I6946" s="1">
        <v>1.29E-2</v>
      </c>
      <c r="J6946" s="1">
        <v>0.14599999999999999</v>
      </c>
    </row>
    <row r="6947" spans="1:11" x14ac:dyDescent="0.25">
      <c r="A6947" t="s">
        <v>203</v>
      </c>
      <c r="B6947">
        <v>365</v>
      </c>
      <c r="C6947" t="s">
        <v>199</v>
      </c>
      <c r="D6947">
        <v>1558</v>
      </c>
      <c r="E6947" s="1">
        <v>6.83E-2</v>
      </c>
      <c r="F6947" s="1">
        <v>0.1867</v>
      </c>
      <c r="G6947" s="1">
        <v>5.3E-3</v>
      </c>
      <c r="H6947" s="1">
        <v>0.61539999999999995</v>
      </c>
      <c r="I6947" s="1">
        <v>1.5E-3</v>
      </c>
      <c r="J6947" s="1">
        <v>0.1227</v>
      </c>
    </row>
    <row r="6948" spans="1:11" x14ac:dyDescent="0.25">
      <c r="A6948" t="s">
        <v>203</v>
      </c>
      <c r="B6948">
        <v>91</v>
      </c>
      <c r="C6948" t="s">
        <v>200</v>
      </c>
      <c r="D6948">
        <v>1558</v>
      </c>
      <c r="E6948" s="1">
        <v>5.7000000000000002E-3</v>
      </c>
      <c r="F6948" s="1">
        <v>0.1193</v>
      </c>
      <c r="H6948" s="1">
        <v>0.62480000000000002</v>
      </c>
      <c r="J6948" s="1">
        <v>0.25019999999999998</v>
      </c>
    </row>
    <row r="6949" spans="1:11" x14ac:dyDescent="0.25">
      <c r="A6949" t="s">
        <v>203</v>
      </c>
      <c r="B6949">
        <v>211</v>
      </c>
      <c r="C6949" t="s">
        <v>201</v>
      </c>
      <c r="D6949">
        <v>1558</v>
      </c>
      <c r="E6949" s="1">
        <v>6.3100000000000003E-2</v>
      </c>
      <c r="F6949" s="1">
        <v>9.0700000000000003E-2</v>
      </c>
      <c r="G6949" s="1">
        <v>2.1000000000000001E-2</v>
      </c>
      <c r="H6949" s="1">
        <v>0.59599999999999997</v>
      </c>
      <c r="I6949" s="1">
        <v>3.2300000000000002E-2</v>
      </c>
      <c r="J6949" s="1">
        <v>0.1968</v>
      </c>
    </row>
    <row r="6950" spans="1:11" s="29" customFormat="1" x14ac:dyDescent="0.25">
      <c r="A6950" s="29" t="s">
        <v>203</v>
      </c>
      <c r="B6950" s="29">
        <v>11</v>
      </c>
      <c r="C6950" s="29" t="s">
        <v>202</v>
      </c>
      <c r="D6950" s="29">
        <v>1558</v>
      </c>
      <c r="E6950" s="30">
        <v>4.7199999999999999E-2</v>
      </c>
      <c r="F6950" s="30">
        <v>0.12529999999999999</v>
      </c>
      <c r="H6950" s="30">
        <v>0.82750000000000001</v>
      </c>
    </row>
    <row r="6951" spans="1:11" x14ac:dyDescent="0.25">
      <c r="A6951" t="s">
        <v>204</v>
      </c>
      <c r="B6951">
        <v>1558</v>
      </c>
      <c r="C6951" t="s">
        <v>204</v>
      </c>
      <c r="D6951">
        <v>1558</v>
      </c>
      <c r="E6951" s="1">
        <v>3.85E-2</v>
      </c>
      <c r="F6951" s="1">
        <v>0.12959999999999999</v>
      </c>
      <c r="G6951" s="1">
        <v>6.8999999999999999E-3</v>
      </c>
      <c r="H6951" s="1">
        <v>0.64629999999999999</v>
      </c>
      <c r="I6951" s="1">
        <v>6.8999999999999999E-3</v>
      </c>
      <c r="J6951" s="1">
        <v>0.1716</v>
      </c>
    </row>
    <row r="6953" spans="1:11" x14ac:dyDescent="0.25">
      <c r="A6953" t="s">
        <v>1265</v>
      </c>
    </row>
    <row r="6954" spans="1:11" x14ac:dyDescent="0.25">
      <c r="A6954" t="s">
        <v>190</v>
      </c>
      <c r="B6954" t="s">
        <v>206</v>
      </c>
      <c r="C6954" t="s">
        <v>195</v>
      </c>
      <c r="D6954" t="s">
        <v>189</v>
      </c>
      <c r="E6954" t="s">
        <v>196</v>
      </c>
      <c r="F6954" t="s">
        <v>1260</v>
      </c>
      <c r="G6954" t="s">
        <v>1261</v>
      </c>
      <c r="H6954" t="s">
        <v>215</v>
      </c>
      <c r="I6954" t="s">
        <v>1262</v>
      </c>
      <c r="J6954" t="s">
        <v>1263</v>
      </c>
      <c r="K6954" t="s">
        <v>1264</v>
      </c>
    </row>
    <row r="6955" spans="1:11" s="29" customFormat="1" x14ac:dyDescent="0.25">
      <c r="A6955" s="29" t="s">
        <v>198</v>
      </c>
      <c r="B6955" s="29" t="s">
        <v>228</v>
      </c>
      <c r="C6955" s="29">
        <v>16</v>
      </c>
      <c r="D6955" s="29" t="s">
        <v>197</v>
      </c>
      <c r="E6955" s="29">
        <v>1558</v>
      </c>
      <c r="G6955" s="30">
        <v>9.4E-2</v>
      </c>
      <c r="I6955" s="30">
        <v>0.41920000000000002</v>
      </c>
      <c r="K6955" s="30">
        <v>0.48680000000000001</v>
      </c>
    </row>
    <row r="6956" spans="1:11" x14ac:dyDescent="0.25">
      <c r="A6956" t="s">
        <v>198</v>
      </c>
      <c r="B6956" t="s">
        <v>229</v>
      </c>
      <c r="C6956">
        <v>35</v>
      </c>
      <c r="D6956" t="s">
        <v>197</v>
      </c>
      <c r="E6956">
        <v>1558</v>
      </c>
      <c r="G6956" s="1">
        <v>0.32069999999999999</v>
      </c>
      <c r="I6956" s="1">
        <v>0.50060000000000004</v>
      </c>
      <c r="K6956" s="1">
        <v>0.1787</v>
      </c>
    </row>
    <row r="6957" spans="1:11" x14ac:dyDescent="0.25">
      <c r="A6957" t="s">
        <v>198</v>
      </c>
      <c r="B6957" t="s">
        <v>229</v>
      </c>
      <c r="C6957">
        <v>182</v>
      </c>
      <c r="D6957" t="s">
        <v>199</v>
      </c>
      <c r="E6957">
        <v>1558</v>
      </c>
      <c r="F6957" s="1">
        <v>2.1299999999999999E-2</v>
      </c>
      <c r="G6957" s="1">
        <v>6.1199999999999997E-2</v>
      </c>
      <c r="H6957" s="1">
        <v>1.9E-3</v>
      </c>
      <c r="I6957" s="1">
        <v>0.72850000000000004</v>
      </c>
      <c r="K6957" s="1">
        <v>0.18720000000000001</v>
      </c>
    </row>
    <row r="6958" spans="1:11" x14ac:dyDescent="0.25">
      <c r="A6958" t="s">
        <v>198</v>
      </c>
      <c r="B6958" t="s">
        <v>228</v>
      </c>
      <c r="C6958">
        <v>120</v>
      </c>
      <c r="D6958" t="s">
        <v>199</v>
      </c>
      <c r="E6958">
        <v>1558</v>
      </c>
      <c r="F6958" s="1">
        <v>1.9599999999999999E-2</v>
      </c>
      <c r="G6958" s="1">
        <v>0.2586</v>
      </c>
      <c r="I6958" s="1">
        <v>0.61350000000000005</v>
      </c>
      <c r="K6958" s="1">
        <v>0.1082</v>
      </c>
    </row>
    <row r="6959" spans="1:11" x14ac:dyDescent="0.25">
      <c r="A6959" t="s">
        <v>198</v>
      </c>
      <c r="B6959" t="s">
        <v>229</v>
      </c>
      <c r="C6959">
        <v>179</v>
      </c>
      <c r="D6959" t="s">
        <v>200</v>
      </c>
      <c r="E6959">
        <v>1558</v>
      </c>
      <c r="F6959" s="1">
        <v>7.6499999999999999E-2</v>
      </c>
      <c r="G6959" s="1">
        <v>0.15049999999999999</v>
      </c>
      <c r="H6959" s="1">
        <v>3.0999999999999999E-3</v>
      </c>
      <c r="I6959" s="1">
        <v>0.57809999999999995</v>
      </c>
      <c r="J6959" s="1">
        <v>1.9699999999999999E-2</v>
      </c>
      <c r="K6959" s="1">
        <v>0.17199999999999999</v>
      </c>
    </row>
    <row r="6960" spans="1:11" x14ac:dyDescent="0.25">
      <c r="A6960" t="s">
        <v>198</v>
      </c>
      <c r="B6960" t="s">
        <v>228</v>
      </c>
      <c r="C6960">
        <v>68</v>
      </c>
      <c r="D6960" t="s">
        <v>200</v>
      </c>
      <c r="E6960">
        <v>1558</v>
      </c>
      <c r="F6960" s="1">
        <v>8.6699999999999999E-2</v>
      </c>
      <c r="G6960" s="1">
        <v>0.1221</v>
      </c>
      <c r="H6960" s="1">
        <v>2.7E-2</v>
      </c>
      <c r="I6960" s="1">
        <v>0.64219999999999999</v>
      </c>
      <c r="K6960" s="1">
        <v>0.122</v>
      </c>
    </row>
    <row r="6961" spans="1:11" x14ac:dyDescent="0.25">
      <c r="A6961" t="s">
        <v>198</v>
      </c>
      <c r="B6961" t="s">
        <v>228</v>
      </c>
      <c r="C6961">
        <v>73</v>
      </c>
      <c r="D6961" t="s">
        <v>201</v>
      </c>
      <c r="E6961">
        <v>1558</v>
      </c>
      <c r="F6961" s="1">
        <v>8.5000000000000006E-3</v>
      </c>
      <c r="G6961" s="1">
        <v>7.85E-2</v>
      </c>
      <c r="I6961" s="1">
        <v>0.74180000000000001</v>
      </c>
      <c r="K6961" s="1">
        <v>0.17130000000000001</v>
      </c>
    </row>
    <row r="6962" spans="1:11" x14ac:dyDescent="0.25">
      <c r="A6962" t="s">
        <v>198</v>
      </c>
      <c r="B6962" t="s">
        <v>229</v>
      </c>
      <c r="C6962">
        <v>119</v>
      </c>
      <c r="D6962" t="s">
        <v>201</v>
      </c>
      <c r="E6962">
        <v>1558</v>
      </c>
      <c r="F6962" s="1">
        <v>6.3600000000000004E-2</v>
      </c>
      <c r="G6962" s="1">
        <v>8.8700000000000001E-2</v>
      </c>
      <c r="I6962" s="1">
        <v>0.71230000000000004</v>
      </c>
      <c r="J6962" s="1">
        <v>5.8999999999999999E-3</v>
      </c>
      <c r="K6962" s="1">
        <v>0.12939999999999999</v>
      </c>
    </row>
    <row r="6963" spans="1:11" x14ac:dyDescent="0.25">
      <c r="A6963" t="s">
        <v>198</v>
      </c>
      <c r="B6963" t="s">
        <v>229</v>
      </c>
      <c r="C6963">
        <v>50</v>
      </c>
      <c r="D6963" t="s">
        <v>202</v>
      </c>
      <c r="E6963">
        <v>1558</v>
      </c>
      <c r="G6963" s="1">
        <v>6.5299999999999997E-2</v>
      </c>
      <c r="I6963" s="1">
        <v>0.76490000000000002</v>
      </c>
      <c r="K6963" s="1">
        <v>0.16980000000000001</v>
      </c>
    </row>
    <row r="6964" spans="1:11" s="29" customFormat="1" x14ac:dyDescent="0.25">
      <c r="A6964" s="29" t="s">
        <v>198</v>
      </c>
      <c r="B6964" s="29" t="s">
        <v>228</v>
      </c>
      <c r="C6964" s="29">
        <v>21</v>
      </c>
      <c r="D6964" s="29" t="s">
        <v>202</v>
      </c>
      <c r="E6964" s="29">
        <v>1558</v>
      </c>
      <c r="F6964" s="30">
        <v>7.8299999999999995E-2</v>
      </c>
      <c r="G6964" s="30">
        <v>0.12239999999999999</v>
      </c>
      <c r="H6964" s="30">
        <v>7.4099999999999999E-2</v>
      </c>
      <c r="I6964" s="30">
        <v>0.59440000000000004</v>
      </c>
      <c r="J6964" s="30">
        <v>4.5999999999999999E-2</v>
      </c>
      <c r="K6964" s="30">
        <v>8.4900000000000003E-2</v>
      </c>
    </row>
    <row r="6965" spans="1:11" x14ac:dyDescent="0.25">
      <c r="A6965" t="s">
        <v>203</v>
      </c>
      <c r="B6965" t="s">
        <v>228</v>
      </c>
      <c r="C6965">
        <v>128</v>
      </c>
      <c r="D6965" t="s">
        <v>199</v>
      </c>
      <c r="E6965">
        <v>1558</v>
      </c>
      <c r="F6965" s="1">
        <v>7.2800000000000004E-2</v>
      </c>
      <c r="G6965" s="1">
        <v>0.161</v>
      </c>
      <c r="H6965" s="1">
        <v>4.1000000000000003E-3</v>
      </c>
      <c r="I6965" s="1">
        <v>0.65690000000000004</v>
      </c>
      <c r="K6965" s="1">
        <v>0.1051</v>
      </c>
    </row>
    <row r="6966" spans="1:11" x14ac:dyDescent="0.25">
      <c r="A6966" t="s">
        <v>203</v>
      </c>
      <c r="B6966" t="s">
        <v>229</v>
      </c>
      <c r="C6966">
        <v>231</v>
      </c>
      <c r="D6966" t="s">
        <v>199</v>
      </c>
      <c r="E6966">
        <v>1558</v>
      </c>
      <c r="F6966" s="1">
        <v>6.7400000000000002E-2</v>
      </c>
      <c r="G6966" s="1">
        <v>0.19550000000000001</v>
      </c>
      <c r="H6966" s="1">
        <v>5.7000000000000002E-3</v>
      </c>
      <c r="I6966" s="1">
        <v>0.6048</v>
      </c>
      <c r="J6966" s="1">
        <v>2E-3</v>
      </c>
      <c r="K6966" s="1">
        <v>0.1246</v>
      </c>
    </row>
    <row r="6967" spans="1:11" x14ac:dyDescent="0.25">
      <c r="A6967" t="s">
        <v>203</v>
      </c>
      <c r="B6967" t="s">
        <v>228</v>
      </c>
      <c r="C6967">
        <v>38</v>
      </c>
      <c r="D6967" t="s">
        <v>200</v>
      </c>
      <c r="E6967">
        <v>1558</v>
      </c>
      <c r="F6967" s="1">
        <v>2.1000000000000001E-2</v>
      </c>
      <c r="G6967" s="1">
        <v>9.5500000000000002E-2</v>
      </c>
      <c r="I6967" s="1">
        <v>0.4914</v>
      </c>
      <c r="K6967" s="1">
        <v>0.3921</v>
      </c>
    </row>
    <row r="6968" spans="1:11" x14ac:dyDescent="0.25">
      <c r="A6968" t="s">
        <v>203</v>
      </c>
      <c r="B6968" t="s">
        <v>229</v>
      </c>
      <c r="C6968">
        <v>53</v>
      </c>
      <c r="D6968" t="s">
        <v>200</v>
      </c>
      <c r="E6968">
        <v>1558</v>
      </c>
      <c r="G6968" s="1">
        <v>0.12809999999999999</v>
      </c>
      <c r="I6968" s="1">
        <v>0.6744</v>
      </c>
      <c r="K6968" s="1">
        <v>0.19750000000000001</v>
      </c>
    </row>
    <row r="6969" spans="1:11" x14ac:dyDescent="0.25">
      <c r="A6969" t="s">
        <v>203</v>
      </c>
      <c r="B6969" t="s">
        <v>228</v>
      </c>
      <c r="C6969">
        <v>137</v>
      </c>
      <c r="D6969" t="s">
        <v>201</v>
      </c>
      <c r="E6969">
        <v>1558</v>
      </c>
      <c r="F6969" s="1">
        <v>3.7400000000000003E-2</v>
      </c>
      <c r="G6969" s="1">
        <v>0.1321</v>
      </c>
      <c r="I6969" s="1">
        <v>0.67079999999999995</v>
      </c>
      <c r="J6969" s="1">
        <v>3.5499999999999997E-2</v>
      </c>
      <c r="K6969" s="1">
        <v>0.1242</v>
      </c>
    </row>
    <row r="6970" spans="1:11" x14ac:dyDescent="0.25">
      <c r="A6970" t="s">
        <v>203</v>
      </c>
      <c r="B6970" t="s">
        <v>229</v>
      </c>
      <c r="C6970">
        <v>67</v>
      </c>
      <c r="D6970" t="s">
        <v>201</v>
      </c>
      <c r="E6970">
        <v>1558</v>
      </c>
      <c r="F6970" s="1">
        <v>7.5999999999999998E-2</v>
      </c>
      <c r="G6970" s="1">
        <v>7.2099999999999997E-2</v>
      </c>
      <c r="H6970" s="1">
        <v>3.1199999999999999E-2</v>
      </c>
      <c r="I6970" s="1">
        <v>0.55800000000000005</v>
      </c>
      <c r="J6970" s="1">
        <v>3.1199999999999999E-2</v>
      </c>
      <c r="K6970" s="1">
        <v>0.23150000000000001</v>
      </c>
    </row>
    <row r="6971" spans="1:11" s="29" customFormat="1" x14ac:dyDescent="0.25">
      <c r="A6971" s="29" t="s">
        <v>203</v>
      </c>
      <c r="B6971" s="29" t="s">
        <v>228</v>
      </c>
      <c r="C6971" s="29">
        <v>3</v>
      </c>
      <c r="D6971" s="29" t="s">
        <v>202</v>
      </c>
      <c r="E6971" s="29">
        <v>1558</v>
      </c>
      <c r="F6971" s="30">
        <v>0.25559999999999999</v>
      </c>
      <c r="G6971" s="30">
        <v>0.33900000000000002</v>
      </c>
      <c r="I6971" s="30">
        <v>0.40539999999999998</v>
      </c>
    </row>
    <row r="6972" spans="1:11" s="29" customFormat="1" x14ac:dyDescent="0.25">
      <c r="A6972" s="29" t="s">
        <v>203</v>
      </c>
      <c r="B6972" s="29" t="s">
        <v>229</v>
      </c>
      <c r="C6972" s="29">
        <v>8</v>
      </c>
      <c r="D6972" s="29" t="s">
        <v>202</v>
      </c>
      <c r="E6972" s="29">
        <v>1558</v>
      </c>
      <c r="G6972" s="30">
        <v>7.6799999999999993E-2</v>
      </c>
      <c r="I6972" s="30">
        <v>0.92320000000000002</v>
      </c>
    </row>
    <row r="6973" spans="1:11" x14ac:dyDescent="0.25">
      <c r="A6973" t="s">
        <v>204</v>
      </c>
      <c r="B6973" t="s">
        <v>204</v>
      </c>
      <c r="C6973">
        <v>1558</v>
      </c>
      <c r="D6973" t="s">
        <v>204</v>
      </c>
      <c r="E6973">
        <v>1558</v>
      </c>
      <c r="F6973" s="1">
        <v>3.85E-2</v>
      </c>
      <c r="G6973" s="1">
        <v>0.12959999999999999</v>
      </c>
      <c r="H6973" s="1">
        <v>6.8999999999999999E-3</v>
      </c>
      <c r="I6973" s="1">
        <v>0.64629999999999999</v>
      </c>
      <c r="J6973" s="1">
        <v>6.8999999999999999E-3</v>
      </c>
      <c r="K6973" s="1">
        <v>0.1716</v>
      </c>
    </row>
    <row r="6975" spans="1:11" x14ac:dyDescent="0.25">
      <c r="A6975" t="s">
        <v>1266</v>
      </c>
    </row>
    <row r="6976" spans="1:11" x14ac:dyDescent="0.25">
      <c r="A6976" t="s">
        <v>190</v>
      </c>
      <c r="B6976" t="s">
        <v>206</v>
      </c>
      <c r="C6976" t="s">
        <v>195</v>
      </c>
      <c r="D6976" t="s">
        <v>189</v>
      </c>
      <c r="E6976" t="s">
        <v>196</v>
      </c>
      <c r="F6976" t="s">
        <v>1260</v>
      </c>
      <c r="G6976" t="s">
        <v>1261</v>
      </c>
      <c r="H6976" t="s">
        <v>215</v>
      </c>
      <c r="I6976" t="s">
        <v>1262</v>
      </c>
      <c r="J6976" t="s">
        <v>1263</v>
      </c>
      <c r="K6976" t="s">
        <v>1264</v>
      </c>
    </row>
    <row r="6977" spans="1:11" x14ac:dyDescent="0.25">
      <c r="A6977" t="s">
        <v>198</v>
      </c>
      <c r="B6977" t="s">
        <v>348</v>
      </c>
      <c r="C6977">
        <v>49</v>
      </c>
      <c r="D6977" t="s">
        <v>197</v>
      </c>
      <c r="E6977">
        <v>1558</v>
      </c>
      <c r="G6977" s="1">
        <v>0.2576</v>
      </c>
      <c r="I6977" s="1">
        <v>0.47370000000000001</v>
      </c>
      <c r="K6977" s="1">
        <v>0.26879999999999998</v>
      </c>
    </row>
    <row r="6978" spans="1:11" s="29" customFormat="1" x14ac:dyDescent="0.25">
      <c r="A6978" s="29" t="s">
        <v>198</v>
      </c>
      <c r="B6978" s="29" t="s">
        <v>349</v>
      </c>
      <c r="C6978" s="29">
        <v>2</v>
      </c>
      <c r="D6978" s="29" t="s">
        <v>197</v>
      </c>
      <c r="E6978" s="29">
        <v>1558</v>
      </c>
      <c r="I6978" s="30">
        <v>0.5</v>
      </c>
      <c r="K6978" s="30">
        <v>0.5</v>
      </c>
    </row>
    <row r="6979" spans="1:11" x14ac:dyDescent="0.25">
      <c r="A6979" t="s">
        <v>198</v>
      </c>
      <c r="B6979" t="s">
        <v>348</v>
      </c>
      <c r="C6979">
        <v>36</v>
      </c>
      <c r="D6979" t="s">
        <v>199</v>
      </c>
      <c r="E6979">
        <v>1558</v>
      </c>
      <c r="F6979" s="1">
        <v>1.6299999999999999E-2</v>
      </c>
      <c r="G6979" s="1">
        <v>0.1236</v>
      </c>
      <c r="I6979" s="1">
        <v>0.69879999999999998</v>
      </c>
      <c r="K6979" s="1">
        <v>0.1613</v>
      </c>
    </row>
    <row r="6980" spans="1:11" x14ac:dyDescent="0.25">
      <c r="A6980" t="s">
        <v>198</v>
      </c>
      <c r="B6980" t="s">
        <v>349</v>
      </c>
      <c r="C6980">
        <v>96</v>
      </c>
      <c r="D6980" t="s">
        <v>199</v>
      </c>
      <c r="E6980">
        <v>1558</v>
      </c>
      <c r="F6980" s="1">
        <v>2.64E-2</v>
      </c>
      <c r="G6980" s="1">
        <v>0.11990000000000001</v>
      </c>
      <c r="H6980" s="1">
        <v>2.3999999999999998E-3</v>
      </c>
      <c r="I6980" s="1">
        <v>0.7208</v>
      </c>
      <c r="K6980" s="1">
        <v>0.1305</v>
      </c>
    </row>
    <row r="6981" spans="1:11" x14ac:dyDescent="0.25">
      <c r="A6981" t="s">
        <v>198</v>
      </c>
      <c r="B6981" t="s">
        <v>350</v>
      </c>
      <c r="C6981">
        <v>170</v>
      </c>
      <c r="D6981" t="s">
        <v>199</v>
      </c>
      <c r="E6981">
        <v>1558</v>
      </c>
      <c r="F6981" s="1">
        <v>1.6299999999999999E-2</v>
      </c>
      <c r="G6981" s="1">
        <v>8.3199999999999996E-2</v>
      </c>
      <c r="H6981" s="1">
        <v>8.9999999999999998E-4</v>
      </c>
      <c r="I6981" s="1">
        <v>0.6855</v>
      </c>
      <c r="K6981" s="1">
        <v>0.21410000000000001</v>
      </c>
    </row>
    <row r="6982" spans="1:11" x14ac:dyDescent="0.25">
      <c r="A6982" t="s">
        <v>198</v>
      </c>
      <c r="B6982" t="s">
        <v>350</v>
      </c>
      <c r="C6982">
        <v>63</v>
      </c>
      <c r="D6982" t="s">
        <v>200</v>
      </c>
      <c r="E6982">
        <v>1558</v>
      </c>
      <c r="F6982" s="1">
        <v>2.12E-2</v>
      </c>
      <c r="G6982" s="1">
        <v>0.14929999999999999</v>
      </c>
      <c r="I6982" s="1">
        <v>0.68840000000000001</v>
      </c>
      <c r="K6982" s="1">
        <v>0.14119999999999999</v>
      </c>
    </row>
    <row r="6983" spans="1:11" x14ac:dyDescent="0.25">
      <c r="A6983" t="s">
        <v>198</v>
      </c>
      <c r="B6983" t="s">
        <v>348</v>
      </c>
      <c r="C6983">
        <v>138</v>
      </c>
      <c r="D6983" t="s">
        <v>200</v>
      </c>
      <c r="E6983">
        <v>1558</v>
      </c>
      <c r="F6983" s="1">
        <v>8.5000000000000006E-2</v>
      </c>
      <c r="G6983" s="1">
        <v>0.14990000000000001</v>
      </c>
      <c r="H6983" s="1">
        <v>8.8000000000000005E-3</v>
      </c>
      <c r="I6983" s="1">
        <v>0.57150000000000001</v>
      </c>
      <c r="J6983" s="1">
        <v>1.8700000000000001E-2</v>
      </c>
      <c r="K6983" s="1">
        <v>0.16600000000000001</v>
      </c>
    </row>
    <row r="6984" spans="1:11" x14ac:dyDescent="0.25">
      <c r="A6984" t="s">
        <v>198</v>
      </c>
      <c r="B6984" t="s">
        <v>349</v>
      </c>
      <c r="C6984">
        <v>46</v>
      </c>
      <c r="D6984" t="s">
        <v>200</v>
      </c>
      <c r="E6984">
        <v>1558</v>
      </c>
      <c r="F6984" s="1">
        <v>6.8900000000000003E-2</v>
      </c>
      <c r="G6984" s="1">
        <v>6.0299999999999999E-2</v>
      </c>
      <c r="I6984" s="1">
        <v>0.72629999999999995</v>
      </c>
      <c r="K6984" s="1">
        <v>0.14460000000000001</v>
      </c>
    </row>
    <row r="6985" spans="1:11" x14ac:dyDescent="0.25">
      <c r="A6985" t="s">
        <v>198</v>
      </c>
      <c r="B6985" t="s">
        <v>349</v>
      </c>
      <c r="C6985">
        <v>96</v>
      </c>
      <c r="D6985" t="s">
        <v>201</v>
      </c>
      <c r="E6985">
        <v>1558</v>
      </c>
      <c r="F6985" s="1">
        <v>6.2300000000000001E-2</v>
      </c>
      <c r="G6985" s="1">
        <v>8.7400000000000005E-2</v>
      </c>
      <c r="I6985" s="1">
        <v>0.71689999999999998</v>
      </c>
      <c r="J6985" s="1">
        <v>6.6E-3</v>
      </c>
      <c r="K6985" s="1">
        <v>0.12690000000000001</v>
      </c>
    </row>
    <row r="6986" spans="1:11" x14ac:dyDescent="0.25">
      <c r="A6986" t="s">
        <v>198</v>
      </c>
      <c r="B6986" t="s">
        <v>350</v>
      </c>
      <c r="C6986">
        <v>53</v>
      </c>
      <c r="D6986" t="s">
        <v>201</v>
      </c>
      <c r="E6986">
        <v>1558</v>
      </c>
      <c r="G6986" s="1">
        <v>0.1221</v>
      </c>
      <c r="I6986" s="1">
        <v>0.60919999999999996</v>
      </c>
      <c r="K6986" s="1">
        <v>0.26869999999999999</v>
      </c>
    </row>
    <row r="6987" spans="1:11" x14ac:dyDescent="0.25">
      <c r="A6987" t="s">
        <v>198</v>
      </c>
      <c r="B6987" t="s">
        <v>348</v>
      </c>
      <c r="C6987">
        <v>43</v>
      </c>
      <c r="D6987" t="s">
        <v>201</v>
      </c>
      <c r="E6987">
        <v>1558</v>
      </c>
      <c r="F6987" s="1">
        <v>3.4500000000000003E-2</v>
      </c>
      <c r="G6987" s="1">
        <v>7.6100000000000001E-2</v>
      </c>
      <c r="I6987" s="1">
        <v>0.74809999999999999</v>
      </c>
      <c r="K6987" s="1">
        <v>0.14130000000000001</v>
      </c>
    </row>
    <row r="6988" spans="1:11" x14ac:dyDescent="0.25">
      <c r="A6988" t="s">
        <v>198</v>
      </c>
      <c r="B6988" t="s">
        <v>348</v>
      </c>
      <c r="C6988">
        <v>71</v>
      </c>
      <c r="D6988" t="s">
        <v>202</v>
      </c>
      <c r="E6988">
        <v>1558</v>
      </c>
      <c r="F6988" s="1">
        <v>2.1999999999999999E-2</v>
      </c>
      <c r="G6988" s="1">
        <v>8.1299999999999997E-2</v>
      </c>
      <c r="H6988" s="1">
        <v>2.0799999999999999E-2</v>
      </c>
      <c r="I6988" s="1">
        <v>0.71709999999999996</v>
      </c>
      <c r="J6988" s="1">
        <v>1.29E-2</v>
      </c>
      <c r="K6988" s="1">
        <v>0.14599999999999999</v>
      </c>
    </row>
    <row r="6989" spans="1:11" x14ac:dyDescent="0.25">
      <c r="A6989" t="s">
        <v>203</v>
      </c>
      <c r="B6989" t="s">
        <v>349</v>
      </c>
      <c r="C6989">
        <v>124</v>
      </c>
      <c r="D6989" t="s">
        <v>199</v>
      </c>
      <c r="E6989">
        <v>1558</v>
      </c>
      <c r="F6989" s="1">
        <v>8.1600000000000006E-2</v>
      </c>
      <c r="G6989" s="1">
        <v>0.1578</v>
      </c>
      <c r="H6989" s="1">
        <v>1.34E-2</v>
      </c>
      <c r="I6989" s="1">
        <v>0.59919999999999995</v>
      </c>
      <c r="J6989" s="1">
        <v>4.5999999999999999E-3</v>
      </c>
      <c r="K6989" s="1">
        <v>0.1434</v>
      </c>
    </row>
    <row r="6990" spans="1:11" s="29" customFormat="1" x14ac:dyDescent="0.25">
      <c r="A6990" s="29" t="s">
        <v>203</v>
      </c>
      <c r="B6990" s="29" t="s">
        <v>348</v>
      </c>
      <c r="C6990" s="29">
        <v>9</v>
      </c>
      <c r="D6990" s="29" t="s">
        <v>199</v>
      </c>
      <c r="E6990" s="29">
        <v>1558</v>
      </c>
      <c r="G6990" s="30">
        <v>5.2400000000000002E-2</v>
      </c>
      <c r="H6990" s="30">
        <v>5.2400000000000002E-2</v>
      </c>
      <c r="I6990" s="30">
        <v>0.79220000000000002</v>
      </c>
      <c r="K6990" s="30">
        <v>0.10290000000000001</v>
      </c>
    </row>
    <row r="6991" spans="1:11" x14ac:dyDescent="0.25">
      <c r="A6991" t="s">
        <v>203</v>
      </c>
      <c r="B6991" t="s">
        <v>350</v>
      </c>
      <c r="C6991">
        <v>226</v>
      </c>
      <c r="D6991" t="s">
        <v>199</v>
      </c>
      <c r="E6991">
        <v>1558</v>
      </c>
      <c r="F6991" s="1">
        <v>6.3100000000000003E-2</v>
      </c>
      <c r="G6991" s="1">
        <v>0.2064</v>
      </c>
      <c r="H6991" s="1">
        <v>4.0000000000000002E-4</v>
      </c>
      <c r="I6991" s="1">
        <v>0.62119999999999997</v>
      </c>
      <c r="K6991" s="1">
        <v>0.1089</v>
      </c>
    </row>
    <row r="6992" spans="1:11" x14ac:dyDescent="0.25">
      <c r="A6992" t="s">
        <v>203</v>
      </c>
      <c r="B6992" t="s">
        <v>348</v>
      </c>
      <c r="C6992">
        <v>30</v>
      </c>
      <c r="D6992" t="s">
        <v>200</v>
      </c>
      <c r="E6992">
        <v>1558</v>
      </c>
      <c r="F6992" s="1">
        <v>6.3E-3</v>
      </c>
      <c r="G6992" s="1">
        <v>0.1148</v>
      </c>
      <c r="I6992" s="1">
        <v>0.57450000000000001</v>
      </c>
      <c r="K6992" s="1">
        <v>0.3044</v>
      </c>
    </row>
    <row r="6993" spans="1:21" s="29" customFormat="1" x14ac:dyDescent="0.25">
      <c r="A6993" s="29" t="s">
        <v>203</v>
      </c>
      <c r="B6993" s="29" t="s">
        <v>349</v>
      </c>
      <c r="C6993" s="29">
        <v>24</v>
      </c>
      <c r="D6993" s="29" t="s">
        <v>200</v>
      </c>
      <c r="E6993" s="29">
        <v>1558</v>
      </c>
      <c r="G6993" s="30">
        <v>0.1196</v>
      </c>
      <c r="I6993" s="30">
        <v>0.81910000000000005</v>
      </c>
      <c r="K6993" s="30">
        <v>6.1199999999999997E-2</v>
      </c>
    </row>
    <row r="6994" spans="1:21" x14ac:dyDescent="0.25">
      <c r="A6994" t="s">
        <v>203</v>
      </c>
      <c r="B6994" t="s">
        <v>350</v>
      </c>
      <c r="C6994">
        <v>37</v>
      </c>
      <c r="D6994" t="s">
        <v>200</v>
      </c>
      <c r="E6994">
        <v>1558</v>
      </c>
      <c r="F6994" s="1">
        <v>8.6E-3</v>
      </c>
      <c r="G6994" s="1">
        <v>0.15279999999999999</v>
      </c>
      <c r="I6994" s="1">
        <v>0.75680000000000003</v>
      </c>
      <c r="K6994" s="1">
        <v>8.1799999999999998E-2</v>
      </c>
    </row>
    <row r="6995" spans="1:21" s="29" customFormat="1" x14ac:dyDescent="0.25">
      <c r="A6995" s="29" t="s">
        <v>203</v>
      </c>
      <c r="B6995" s="29" t="s">
        <v>348</v>
      </c>
      <c r="C6995" s="29">
        <v>10</v>
      </c>
      <c r="D6995" s="29" t="s">
        <v>201</v>
      </c>
      <c r="E6995" s="29">
        <v>1558</v>
      </c>
      <c r="G6995" s="30">
        <v>0.25929999999999997</v>
      </c>
      <c r="I6995" s="30">
        <v>0.47120000000000001</v>
      </c>
      <c r="K6995" s="30">
        <v>0.26950000000000002</v>
      </c>
    </row>
    <row r="6996" spans="1:21" x14ac:dyDescent="0.25">
      <c r="A6996" t="s">
        <v>203</v>
      </c>
      <c r="B6996" t="s">
        <v>349</v>
      </c>
      <c r="C6996">
        <v>95</v>
      </c>
      <c r="D6996" t="s">
        <v>201</v>
      </c>
      <c r="E6996">
        <v>1558</v>
      </c>
      <c r="F6996" s="1">
        <v>7.8200000000000006E-2</v>
      </c>
      <c r="G6996" s="1">
        <v>8.9099999999999999E-2</v>
      </c>
      <c r="H6996" s="1">
        <v>2.7799999999999998E-2</v>
      </c>
      <c r="I6996" s="1">
        <v>0.55079999999999996</v>
      </c>
      <c r="J6996" s="1">
        <v>4.2900000000000001E-2</v>
      </c>
      <c r="K6996" s="1">
        <v>0.2112</v>
      </c>
    </row>
    <row r="6997" spans="1:21" x14ac:dyDescent="0.25">
      <c r="A6997" t="s">
        <v>203</v>
      </c>
      <c r="B6997" t="s">
        <v>350</v>
      </c>
      <c r="C6997">
        <v>99</v>
      </c>
      <c r="D6997" t="s">
        <v>201</v>
      </c>
      <c r="E6997">
        <v>1558</v>
      </c>
      <c r="F6997" s="1">
        <v>2.1299999999999999E-2</v>
      </c>
      <c r="G6997" s="1">
        <v>6.0699999999999997E-2</v>
      </c>
      <c r="I6997" s="1">
        <v>0.79349999999999998</v>
      </c>
      <c r="K6997" s="1">
        <v>0.1245</v>
      </c>
    </row>
    <row r="6998" spans="1:21" s="29" customFormat="1" x14ac:dyDescent="0.25">
      <c r="A6998" s="29" t="s">
        <v>203</v>
      </c>
      <c r="B6998" s="29" t="s">
        <v>348</v>
      </c>
      <c r="C6998" s="29">
        <v>11</v>
      </c>
      <c r="D6998" s="29" t="s">
        <v>202</v>
      </c>
      <c r="E6998" s="29">
        <v>1558</v>
      </c>
      <c r="F6998" s="30">
        <v>4.7199999999999999E-2</v>
      </c>
      <c r="G6998" s="30">
        <v>0.12529999999999999</v>
      </c>
      <c r="I6998" s="30">
        <v>0.82750000000000001</v>
      </c>
    </row>
    <row r="6999" spans="1:21" x14ac:dyDescent="0.25">
      <c r="A6999" t="s">
        <v>204</v>
      </c>
      <c r="B6999" t="s">
        <v>204</v>
      </c>
      <c r="C6999">
        <v>1558</v>
      </c>
      <c r="D6999" t="s">
        <v>204</v>
      </c>
      <c r="E6999">
        <v>1558</v>
      </c>
      <c r="F6999" s="1">
        <v>3.85E-2</v>
      </c>
      <c r="G6999" s="1">
        <v>0.12959999999999999</v>
      </c>
      <c r="H6999" s="1">
        <v>6.8999999999999999E-3</v>
      </c>
      <c r="I6999" s="1">
        <v>0.64629999999999999</v>
      </c>
      <c r="J6999" s="1">
        <v>6.8999999999999999E-3</v>
      </c>
      <c r="K6999" s="1">
        <v>0.1716</v>
      </c>
    </row>
    <row r="7001" spans="1:21" x14ac:dyDescent="0.25">
      <c r="A7001" t="s">
        <v>1267</v>
      </c>
    </row>
    <row r="7002" spans="1:21" x14ac:dyDescent="0.25">
      <c r="A7002" t="s">
        <v>190</v>
      </c>
      <c r="B7002" t="s">
        <v>195</v>
      </c>
      <c r="C7002" t="s">
        <v>189</v>
      </c>
      <c r="D7002" t="s">
        <v>196</v>
      </c>
      <c r="E7002" t="s">
        <v>1268</v>
      </c>
      <c r="F7002" t="s">
        <v>1269</v>
      </c>
      <c r="G7002" t="s">
        <v>1270</v>
      </c>
      <c r="H7002" t="s">
        <v>1271</v>
      </c>
      <c r="I7002" t="s">
        <v>1272</v>
      </c>
      <c r="J7002" t="s">
        <v>1273</v>
      </c>
      <c r="K7002" t="s">
        <v>1274</v>
      </c>
      <c r="L7002" t="s">
        <v>1275</v>
      </c>
      <c r="M7002" t="s">
        <v>1276</v>
      </c>
      <c r="N7002" t="s">
        <v>1277</v>
      </c>
      <c r="O7002" t="s">
        <v>1278</v>
      </c>
      <c r="P7002" t="s">
        <v>1279</v>
      </c>
      <c r="Q7002" t="s">
        <v>1280</v>
      </c>
      <c r="R7002" t="s">
        <v>271</v>
      </c>
      <c r="S7002" t="s">
        <v>235</v>
      </c>
      <c r="T7002" t="s">
        <v>215</v>
      </c>
      <c r="U7002" t="s">
        <v>1281</v>
      </c>
    </row>
    <row r="7003" spans="1:21" x14ac:dyDescent="0.25">
      <c r="A7003" t="s">
        <v>198</v>
      </c>
      <c r="B7003">
        <v>82</v>
      </c>
      <c r="C7003" t="s">
        <v>197</v>
      </c>
      <c r="D7003">
        <v>2624</v>
      </c>
      <c r="F7003" s="1">
        <v>0.11840000000000001</v>
      </c>
      <c r="G7003" s="1">
        <v>0.1137</v>
      </c>
      <c r="I7003" s="1">
        <v>0.34870000000000001</v>
      </c>
      <c r="J7003" s="1">
        <v>0.13170000000000001</v>
      </c>
      <c r="K7003" s="1">
        <v>0.18759999999999999</v>
      </c>
      <c r="L7003" s="1">
        <v>0.47</v>
      </c>
      <c r="M7003" s="1">
        <v>1.0999999999999999E-2</v>
      </c>
      <c r="N7003" s="1">
        <v>5.62E-2</v>
      </c>
      <c r="O7003" s="1">
        <v>2.2499999999999999E-2</v>
      </c>
      <c r="P7003" s="1">
        <v>3.1800000000000002E-2</v>
      </c>
      <c r="Q7003" s="1">
        <v>9.2799999999999994E-2</v>
      </c>
      <c r="R7003" s="1">
        <v>0.24479999999999999</v>
      </c>
      <c r="U7003" s="1">
        <v>5.0799999999999998E-2</v>
      </c>
    </row>
    <row r="7004" spans="1:21" x14ac:dyDescent="0.25">
      <c r="A7004" t="s">
        <v>198</v>
      </c>
      <c r="B7004">
        <v>367</v>
      </c>
      <c r="C7004" t="s">
        <v>199</v>
      </c>
      <c r="D7004">
        <v>2624</v>
      </c>
      <c r="E7004" s="1">
        <v>6.8999999999999999E-3</v>
      </c>
      <c r="F7004" s="1">
        <v>0.14599999999999999</v>
      </c>
      <c r="G7004" s="1">
        <v>0.1527</v>
      </c>
      <c r="I7004" s="1">
        <v>0.44280000000000003</v>
      </c>
      <c r="J7004" s="1">
        <v>0.25619999999999998</v>
      </c>
      <c r="K7004" s="1">
        <v>0.1018</v>
      </c>
      <c r="L7004" s="1">
        <v>0.38140000000000002</v>
      </c>
      <c r="M7004" s="1">
        <v>6.1999999999999998E-3</v>
      </c>
      <c r="N7004" s="1">
        <v>7.2900000000000006E-2</v>
      </c>
      <c r="O7004" s="1">
        <v>4.7E-2</v>
      </c>
      <c r="P7004" s="1">
        <v>3.2000000000000002E-3</v>
      </c>
      <c r="Q7004" s="1">
        <v>3.6999999999999998E-2</v>
      </c>
      <c r="R7004" s="1">
        <v>0.25</v>
      </c>
      <c r="S7004" s="1">
        <v>3.3999999999999998E-3</v>
      </c>
      <c r="T7004" s="1">
        <v>1.0500000000000001E-2</v>
      </c>
      <c r="U7004" s="1">
        <v>7.5700000000000003E-2</v>
      </c>
    </row>
    <row r="7005" spans="1:21" x14ac:dyDescent="0.25">
      <c r="A7005" t="s">
        <v>198</v>
      </c>
      <c r="B7005">
        <v>386</v>
      </c>
      <c r="C7005" t="s">
        <v>200</v>
      </c>
      <c r="D7005">
        <v>2624</v>
      </c>
      <c r="E7005" s="1">
        <v>2.46E-2</v>
      </c>
      <c r="F7005" s="1">
        <v>5.8799999999999998E-2</v>
      </c>
      <c r="G7005" s="1">
        <v>0.13150000000000001</v>
      </c>
      <c r="I7005" s="1">
        <v>0.23710000000000001</v>
      </c>
      <c r="J7005" s="1">
        <v>0.15359999999999999</v>
      </c>
      <c r="K7005" s="1">
        <v>7.7100000000000002E-2</v>
      </c>
      <c r="L7005" s="1">
        <v>0.31</v>
      </c>
      <c r="M7005" s="1">
        <v>1.2200000000000001E-2</v>
      </c>
      <c r="N7005" s="1">
        <v>4.7500000000000001E-2</v>
      </c>
      <c r="O7005" s="1">
        <v>2.6200000000000001E-2</v>
      </c>
      <c r="P7005" s="1">
        <v>2.07E-2</v>
      </c>
      <c r="Q7005" s="1">
        <v>3.9399999999999998E-2</v>
      </c>
      <c r="R7005" s="1">
        <v>0.34820000000000001</v>
      </c>
      <c r="S7005" s="1">
        <v>9.5999999999999992E-3</v>
      </c>
      <c r="T7005" s="1">
        <v>1.6899999999999998E-2</v>
      </c>
      <c r="U7005" s="1">
        <v>2.8899999999999999E-2</v>
      </c>
    </row>
    <row r="7006" spans="1:21" x14ac:dyDescent="0.25">
      <c r="A7006" t="s">
        <v>198</v>
      </c>
      <c r="B7006">
        <v>255</v>
      </c>
      <c r="C7006" t="s">
        <v>201</v>
      </c>
      <c r="D7006">
        <v>2624</v>
      </c>
      <c r="E7006" s="1">
        <v>1.77E-2</v>
      </c>
      <c r="F7006" s="1">
        <v>0.11940000000000001</v>
      </c>
      <c r="G7006" s="1">
        <v>0.1079</v>
      </c>
      <c r="H7006" s="1">
        <v>0.01</v>
      </c>
      <c r="I7006" s="1">
        <v>0.27779999999999999</v>
      </c>
      <c r="J7006" s="1">
        <v>0.15279999999999999</v>
      </c>
      <c r="K7006" s="1">
        <v>8.5199999999999998E-2</v>
      </c>
      <c r="L7006" s="1">
        <v>0.32840000000000003</v>
      </c>
      <c r="M7006" s="1">
        <v>3.6700000000000003E-2</v>
      </c>
      <c r="N7006" s="1">
        <v>7.7799999999999994E-2</v>
      </c>
      <c r="O7006" s="1">
        <v>3.9E-2</v>
      </c>
      <c r="P7006" s="1">
        <v>3.2199999999999999E-2</v>
      </c>
      <c r="Q7006" s="1">
        <v>7.8600000000000003E-2</v>
      </c>
      <c r="R7006" s="1">
        <v>0.29339999999999999</v>
      </c>
      <c r="S7006" s="1">
        <v>0.01</v>
      </c>
      <c r="T7006" s="1">
        <v>2.23E-2</v>
      </c>
      <c r="U7006" s="1">
        <v>2.0500000000000001E-2</v>
      </c>
    </row>
    <row r="7007" spans="1:21" x14ac:dyDescent="0.25">
      <c r="A7007" t="s">
        <v>198</v>
      </c>
      <c r="B7007">
        <v>96</v>
      </c>
      <c r="C7007" t="s">
        <v>202</v>
      </c>
      <c r="D7007">
        <v>2624</v>
      </c>
      <c r="F7007" s="1">
        <v>0.1444</v>
      </c>
      <c r="G7007" s="1">
        <v>0.15190000000000001</v>
      </c>
      <c r="I7007" s="1">
        <v>0.30249999999999999</v>
      </c>
      <c r="J7007" s="1">
        <v>0.1162</v>
      </c>
      <c r="K7007" s="1">
        <v>0.2019</v>
      </c>
      <c r="L7007" s="1">
        <v>0.35809999999999997</v>
      </c>
      <c r="M7007" s="1">
        <v>2.5000000000000001E-3</v>
      </c>
      <c r="N7007" s="1">
        <v>5.2999999999999999E-2</v>
      </c>
      <c r="O7007" s="1">
        <v>2.52E-2</v>
      </c>
      <c r="Q7007" s="1">
        <v>1.8700000000000001E-2</v>
      </c>
      <c r="R7007" s="1">
        <v>0.30840000000000001</v>
      </c>
      <c r="U7007" s="1">
        <v>4.9299999999999997E-2</v>
      </c>
    </row>
    <row r="7008" spans="1:21" x14ac:dyDescent="0.25">
      <c r="A7008" t="s">
        <v>203</v>
      </c>
      <c r="B7008">
        <v>528</v>
      </c>
      <c r="C7008" t="s">
        <v>199</v>
      </c>
      <c r="D7008">
        <v>2624</v>
      </c>
      <c r="E7008" s="1">
        <v>1.2999999999999999E-2</v>
      </c>
      <c r="F7008" s="1">
        <v>7.3400000000000007E-2</v>
      </c>
      <c r="G7008" s="1">
        <v>0.14399999999999999</v>
      </c>
      <c r="H7008" s="1">
        <v>4.2999999999999997E-2</v>
      </c>
      <c r="I7008" s="1">
        <v>0.2225</v>
      </c>
      <c r="J7008" s="1">
        <v>0.05</v>
      </c>
      <c r="K7008" s="1">
        <v>4.2999999999999997E-2</v>
      </c>
      <c r="L7008" s="1">
        <v>0.29070000000000001</v>
      </c>
      <c r="M7008" s="1">
        <v>1.12E-2</v>
      </c>
      <c r="N7008" s="1">
        <v>1.7399999999999999E-2</v>
      </c>
      <c r="O7008" s="1">
        <v>7.4300000000000005E-2</v>
      </c>
      <c r="P7008" s="1">
        <v>2.8E-3</v>
      </c>
      <c r="Q7008" s="1">
        <v>2.1399999999999999E-2</v>
      </c>
      <c r="R7008" s="1">
        <v>0.52549999999999997</v>
      </c>
      <c r="S7008" s="1">
        <v>6.3E-3</v>
      </c>
      <c r="T7008" s="1">
        <v>7.7000000000000002E-3</v>
      </c>
      <c r="U7008" s="1">
        <v>9.0399999999999994E-2</v>
      </c>
    </row>
    <row r="7009" spans="1:21" x14ac:dyDescent="0.25">
      <c r="A7009" t="s">
        <v>203</v>
      </c>
      <c r="B7009">
        <v>503</v>
      </c>
      <c r="C7009" t="s">
        <v>200</v>
      </c>
      <c r="D7009">
        <v>2624</v>
      </c>
      <c r="E7009" s="1">
        <v>7.7600000000000002E-2</v>
      </c>
      <c r="F7009" s="1">
        <v>4.1599999999999998E-2</v>
      </c>
      <c r="G7009" s="1">
        <v>4.3999999999999997E-2</v>
      </c>
      <c r="H7009" s="1">
        <v>1.1999999999999999E-3</v>
      </c>
      <c r="I7009" s="1">
        <v>8.5400000000000004E-2</v>
      </c>
      <c r="J7009" s="1">
        <v>2.64E-2</v>
      </c>
      <c r="K7009" s="1">
        <v>3.1699999999999999E-2</v>
      </c>
      <c r="L7009" s="1">
        <v>0.1288</v>
      </c>
      <c r="N7009" s="1">
        <v>0.01</v>
      </c>
      <c r="O7009" s="1">
        <v>1.38E-2</v>
      </c>
      <c r="P7009" s="1">
        <v>1.4E-3</v>
      </c>
      <c r="Q7009" s="1">
        <v>9.7000000000000003E-3</v>
      </c>
      <c r="R7009" s="1">
        <v>0.65539999999999998</v>
      </c>
      <c r="S7009" s="1">
        <v>2.47E-2</v>
      </c>
      <c r="T7009" s="1">
        <v>2.0400000000000001E-2</v>
      </c>
      <c r="U7009" s="1">
        <v>7.5300000000000006E-2</v>
      </c>
    </row>
    <row r="7010" spans="1:21" x14ac:dyDescent="0.25">
      <c r="A7010" t="s">
        <v>203</v>
      </c>
      <c r="B7010">
        <v>317</v>
      </c>
      <c r="C7010" t="s">
        <v>201</v>
      </c>
      <c r="D7010">
        <v>2624</v>
      </c>
      <c r="E7010" s="1">
        <v>1.29E-2</v>
      </c>
      <c r="F7010" s="1">
        <v>9.3700000000000006E-2</v>
      </c>
      <c r="G7010" s="1">
        <v>0.12180000000000001</v>
      </c>
      <c r="I7010" s="1">
        <v>0.16639999999999999</v>
      </c>
      <c r="J7010" s="1">
        <v>3.3000000000000002E-2</v>
      </c>
      <c r="K7010" s="1">
        <v>9.6299999999999997E-2</v>
      </c>
      <c r="L7010" s="1">
        <v>0.1709</v>
      </c>
      <c r="M7010" s="1">
        <v>7.4000000000000003E-3</v>
      </c>
      <c r="O7010" s="1">
        <v>3.7199999999999997E-2</v>
      </c>
      <c r="P7010" s="1">
        <v>9.7999999999999997E-3</v>
      </c>
      <c r="Q7010" s="1">
        <v>3.5299999999999998E-2</v>
      </c>
      <c r="R7010" s="1">
        <v>0.5161</v>
      </c>
      <c r="S7010" s="1">
        <v>1.4E-3</v>
      </c>
      <c r="T7010" s="1">
        <v>3.6600000000000001E-2</v>
      </c>
      <c r="U7010" s="1">
        <v>4.4900000000000002E-2</v>
      </c>
    </row>
    <row r="7011" spans="1:21" x14ac:dyDescent="0.25">
      <c r="A7011" t="s">
        <v>203</v>
      </c>
      <c r="B7011">
        <v>90</v>
      </c>
      <c r="C7011" t="s">
        <v>202</v>
      </c>
      <c r="D7011">
        <v>2624</v>
      </c>
      <c r="E7011" s="1">
        <v>2.5999999999999999E-2</v>
      </c>
      <c r="F7011" s="1">
        <v>3.7999999999999999E-2</v>
      </c>
      <c r="G7011" s="1">
        <v>7.5200000000000003E-2</v>
      </c>
      <c r="H7011" s="1">
        <v>1.8499999999999999E-2</v>
      </c>
      <c r="I7011" s="1">
        <v>0.12659999999999999</v>
      </c>
      <c r="J7011" s="1">
        <v>3.7000000000000002E-3</v>
      </c>
      <c r="K7011" s="1">
        <v>3.2899999999999999E-2</v>
      </c>
      <c r="L7011" s="1">
        <v>0.14530000000000001</v>
      </c>
      <c r="O7011" s="1">
        <v>1.7500000000000002E-2</v>
      </c>
      <c r="P7011" s="1">
        <v>1.8499999999999999E-2</v>
      </c>
      <c r="Q7011" s="1">
        <v>9.9000000000000008E-3</v>
      </c>
      <c r="R7011" s="1">
        <v>0.61399999999999999</v>
      </c>
      <c r="S7011" s="1">
        <v>3.7000000000000002E-3</v>
      </c>
      <c r="T7011" s="1">
        <v>5.8999999999999999E-3</v>
      </c>
      <c r="U7011" s="1">
        <v>0.1179</v>
      </c>
    </row>
    <row r="7012" spans="1:21" x14ac:dyDescent="0.25">
      <c r="A7012" t="s">
        <v>204</v>
      </c>
      <c r="B7012">
        <v>2624</v>
      </c>
      <c r="C7012" t="s">
        <v>204</v>
      </c>
      <c r="D7012">
        <v>2624</v>
      </c>
      <c r="E7012" s="1">
        <v>3.2300000000000002E-2</v>
      </c>
      <c r="F7012" s="1">
        <v>8.2100000000000006E-2</v>
      </c>
      <c r="G7012" s="1">
        <v>0.1053</v>
      </c>
      <c r="H7012" s="1">
        <v>7.4000000000000003E-3</v>
      </c>
      <c r="I7012" s="1">
        <v>0.2205</v>
      </c>
      <c r="J7012" s="1">
        <v>9.4799999999999995E-2</v>
      </c>
      <c r="K7012" s="1">
        <v>0.08</v>
      </c>
      <c r="L7012" s="1">
        <v>0.26090000000000002</v>
      </c>
      <c r="M7012" s="1">
        <v>6.7999999999999996E-3</v>
      </c>
      <c r="N7012" s="1">
        <v>3.2800000000000003E-2</v>
      </c>
      <c r="O7012" s="1">
        <v>3.1699999999999999E-2</v>
      </c>
      <c r="P7012" s="1">
        <v>8.8000000000000005E-3</v>
      </c>
      <c r="Q7012" s="1">
        <v>2.93E-2</v>
      </c>
      <c r="R7012" s="1">
        <v>0.46279999999999999</v>
      </c>
      <c r="S7012" s="1">
        <v>1.0800000000000001E-2</v>
      </c>
      <c r="T7012" s="1">
        <v>1.4E-2</v>
      </c>
      <c r="U7012" s="1">
        <v>6.54E-2</v>
      </c>
    </row>
    <row r="7014" spans="1:21" x14ac:dyDescent="0.25">
      <c r="A7014" t="s">
        <v>1282</v>
      </c>
    </row>
    <row r="7015" spans="1:21" x14ac:dyDescent="0.25">
      <c r="A7015" t="s">
        <v>190</v>
      </c>
      <c r="B7015" t="s">
        <v>195</v>
      </c>
      <c r="C7015" t="s">
        <v>189</v>
      </c>
      <c r="D7015" t="s">
        <v>196</v>
      </c>
      <c r="E7015" t="s">
        <v>1283</v>
      </c>
      <c r="F7015" t="s">
        <v>220</v>
      </c>
      <c r="G7015" t="s">
        <v>1284</v>
      </c>
      <c r="H7015" t="s">
        <v>1285</v>
      </c>
      <c r="I7015" t="s">
        <v>1286</v>
      </c>
      <c r="J7015" t="s">
        <v>1287</v>
      </c>
      <c r="K7015" t="s">
        <v>271</v>
      </c>
      <c r="L7015" t="s">
        <v>1288</v>
      </c>
      <c r="M7015" t="s">
        <v>235</v>
      </c>
      <c r="N7015" t="s">
        <v>1289</v>
      </c>
      <c r="O7015" t="s">
        <v>1290</v>
      </c>
      <c r="P7015" t="s">
        <v>215</v>
      </c>
      <c r="Q7015" t="s">
        <v>1291</v>
      </c>
      <c r="R7015" t="s">
        <v>1292</v>
      </c>
      <c r="S7015" t="s">
        <v>1293</v>
      </c>
      <c r="T7015" t="s">
        <v>1294</v>
      </c>
    </row>
    <row r="7016" spans="1:21" x14ac:dyDescent="0.25">
      <c r="A7016" t="s">
        <v>198</v>
      </c>
      <c r="B7016">
        <v>62</v>
      </c>
      <c r="C7016" t="s">
        <v>197</v>
      </c>
      <c r="D7016">
        <v>1491</v>
      </c>
      <c r="E7016" s="1">
        <v>1.46E-2</v>
      </c>
      <c r="F7016" s="1">
        <v>2.81E-2</v>
      </c>
      <c r="G7016" s="1">
        <v>3.6400000000000002E-2</v>
      </c>
      <c r="H7016" s="1">
        <v>6.4000000000000001E-2</v>
      </c>
      <c r="I7016" s="1">
        <v>1.8200000000000001E-2</v>
      </c>
      <c r="J7016" s="1">
        <v>0.6048</v>
      </c>
      <c r="K7016" s="1">
        <v>3.44E-2</v>
      </c>
      <c r="L7016" s="1">
        <v>4.6300000000000001E-2</v>
      </c>
      <c r="N7016" s="1">
        <v>3.7999999999999999E-2</v>
      </c>
      <c r="O7016" s="1">
        <v>0.39419999999999999</v>
      </c>
      <c r="R7016" s="1">
        <v>1.46E-2</v>
      </c>
      <c r="S7016" s="1">
        <v>0.21299999999999999</v>
      </c>
      <c r="T7016" s="1">
        <v>9.9000000000000008E-3</v>
      </c>
    </row>
    <row r="7017" spans="1:21" x14ac:dyDescent="0.25">
      <c r="A7017" t="s">
        <v>198</v>
      </c>
      <c r="B7017">
        <v>254</v>
      </c>
      <c r="C7017" t="s">
        <v>199</v>
      </c>
      <c r="D7017">
        <v>1491</v>
      </c>
      <c r="E7017" s="1">
        <v>5.1400000000000001E-2</v>
      </c>
      <c r="F7017" s="1">
        <v>1.6000000000000001E-3</v>
      </c>
      <c r="G7017" s="1">
        <v>3.1800000000000002E-2</v>
      </c>
      <c r="H7017" s="1">
        <v>0.21099999999999999</v>
      </c>
      <c r="I7017" s="1">
        <v>4.8999999999999998E-3</v>
      </c>
      <c r="J7017" s="1">
        <v>0.49209999999999998</v>
      </c>
      <c r="K7017" s="1">
        <v>2E-3</v>
      </c>
      <c r="L7017" s="1">
        <v>1.2699999999999999E-2</v>
      </c>
      <c r="N7017" s="1">
        <v>2.3900000000000001E-2</v>
      </c>
      <c r="O7017" s="1">
        <v>0.51959999999999995</v>
      </c>
      <c r="Q7017" s="1">
        <v>3.0300000000000001E-2</v>
      </c>
      <c r="R7017" s="1">
        <v>1.3599999999999999E-2</v>
      </c>
      <c r="S7017" s="1">
        <v>0.37390000000000001</v>
      </c>
      <c r="T7017" s="1">
        <v>0.1089</v>
      </c>
    </row>
    <row r="7018" spans="1:21" x14ac:dyDescent="0.25">
      <c r="A7018" t="s">
        <v>198</v>
      </c>
      <c r="B7018">
        <v>251</v>
      </c>
      <c r="C7018" t="s">
        <v>200</v>
      </c>
      <c r="D7018">
        <v>1491</v>
      </c>
      <c r="E7018" s="1">
        <v>7.0000000000000001E-3</v>
      </c>
      <c r="F7018" s="1">
        <v>1.0999999999999999E-2</v>
      </c>
      <c r="G7018" s="1">
        <v>6.6600000000000006E-2</v>
      </c>
      <c r="H7018" s="1">
        <v>8.9800000000000005E-2</v>
      </c>
      <c r="I7018" s="1">
        <v>3.4599999999999999E-2</v>
      </c>
      <c r="J7018" s="1">
        <v>0.61070000000000002</v>
      </c>
      <c r="L7018" s="1">
        <v>5.4300000000000001E-2</v>
      </c>
      <c r="N7018" s="1">
        <v>2.7799999999999998E-2</v>
      </c>
      <c r="O7018" s="1">
        <v>0.42780000000000001</v>
      </c>
      <c r="Q7018" s="1">
        <v>7.0000000000000001E-3</v>
      </c>
      <c r="R7018" s="1">
        <v>3.7000000000000002E-3</v>
      </c>
      <c r="S7018" s="1">
        <v>0.31280000000000002</v>
      </c>
      <c r="T7018" s="1">
        <v>0.02</v>
      </c>
    </row>
    <row r="7019" spans="1:21" x14ac:dyDescent="0.25">
      <c r="A7019" t="s">
        <v>198</v>
      </c>
      <c r="B7019">
        <v>161</v>
      </c>
      <c r="C7019" t="s">
        <v>201</v>
      </c>
      <c r="D7019">
        <v>1491</v>
      </c>
      <c r="E7019" s="1">
        <v>6.1000000000000004E-3</v>
      </c>
      <c r="G7019" s="1">
        <v>9.6500000000000002E-2</v>
      </c>
      <c r="H7019" s="1">
        <v>6.3700000000000007E-2</v>
      </c>
      <c r="I7019" s="1">
        <v>4.24E-2</v>
      </c>
      <c r="J7019" s="1">
        <v>0.71350000000000002</v>
      </c>
      <c r="K7019" s="1">
        <v>1.8800000000000001E-2</v>
      </c>
      <c r="L7019" s="1">
        <v>5.0299999999999997E-2</v>
      </c>
      <c r="N7019" s="1">
        <v>1.21E-2</v>
      </c>
      <c r="O7019" s="1">
        <v>0.3901</v>
      </c>
      <c r="Q7019" s="1">
        <v>2.3999999999999998E-3</v>
      </c>
      <c r="R7019" s="1">
        <v>1.9800000000000002E-2</v>
      </c>
      <c r="S7019" s="1">
        <v>0.251</v>
      </c>
      <c r="T7019" s="1">
        <v>5.04E-2</v>
      </c>
    </row>
    <row r="7020" spans="1:21" x14ac:dyDescent="0.25">
      <c r="A7020" t="s">
        <v>198</v>
      </c>
      <c r="B7020">
        <v>64</v>
      </c>
      <c r="C7020" t="s">
        <v>202</v>
      </c>
      <c r="D7020">
        <v>1491</v>
      </c>
      <c r="E7020" s="1">
        <v>3.44E-2</v>
      </c>
      <c r="G7020" s="1">
        <v>1.1599999999999999E-2</v>
      </c>
      <c r="H7020" s="1">
        <v>0.22270000000000001</v>
      </c>
      <c r="J7020" s="1">
        <v>0.56020000000000003</v>
      </c>
      <c r="K7020" s="1">
        <v>1.37E-2</v>
      </c>
      <c r="L7020" s="1">
        <v>7.9500000000000001E-2</v>
      </c>
      <c r="N7020" s="1">
        <v>4.9099999999999998E-2</v>
      </c>
      <c r="O7020" s="1">
        <v>0.4012</v>
      </c>
      <c r="S7020" s="1">
        <v>0.37619999999999998</v>
      </c>
      <c r="T7020" s="1">
        <v>7.1300000000000002E-2</v>
      </c>
    </row>
    <row r="7021" spans="1:21" x14ac:dyDescent="0.25">
      <c r="A7021" t="s">
        <v>203</v>
      </c>
      <c r="B7021">
        <v>283</v>
      </c>
      <c r="C7021" t="s">
        <v>199</v>
      </c>
      <c r="D7021">
        <v>1491</v>
      </c>
      <c r="E7021" s="1">
        <v>1.38E-2</v>
      </c>
      <c r="F7021" s="1">
        <v>2.2000000000000001E-3</v>
      </c>
      <c r="G7021" s="1">
        <v>5.0599999999999999E-2</v>
      </c>
      <c r="H7021" s="1">
        <v>0.20660000000000001</v>
      </c>
      <c r="I7021" s="1">
        <v>2.64E-2</v>
      </c>
      <c r="J7021" s="1">
        <v>0.62439999999999996</v>
      </c>
      <c r="K7021" s="1">
        <v>7.1999999999999998E-3</v>
      </c>
      <c r="L7021" s="1">
        <v>0.10829999999999999</v>
      </c>
      <c r="N7021" s="1">
        <v>3.5400000000000001E-2</v>
      </c>
      <c r="O7021" s="1">
        <v>0.32319999999999999</v>
      </c>
      <c r="P7021" s="1">
        <v>1.2999999999999999E-3</v>
      </c>
      <c r="Q7021" s="1">
        <v>2.0899999999999998E-2</v>
      </c>
      <c r="R7021" s="1">
        <v>3.0000000000000001E-3</v>
      </c>
      <c r="S7021" s="1">
        <v>0.44440000000000002</v>
      </c>
      <c r="T7021" s="1">
        <v>7.7200000000000005E-2</v>
      </c>
    </row>
    <row r="7022" spans="1:21" x14ac:dyDescent="0.25">
      <c r="A7022" t="s">
        <v>203</v>
      </c>
      <c r="B7022">
        <v>209</v>
      </c>
      <c r="C7022" t="s">
        <v>200</v>
      </c>
      <c r="D7022">
        <v>1491</v>
      </c>
      <c r="E7022" s="1">
        <v>2.2800000000000001E-2</v>
      </c>
      <c r="F7022" s="1">
        <v>6.1000000000000004E-3</v>
      </c>
      <c r="G7022" s="1">
        <v>0.12709999999999999</v>
      </c>
      <c r="H7022" s="1">
        <v>8.7599999999999997E-2</v>
      </c>
      <c r="I7022" s="1">
        <v>1.67E-2</v>
      </c>
      <c r="J7022" s="1">
        <v>0.49969999999999998</v>
      </c>
      <c r="K7022" s="1">
        <v>3.3700000000000001E-2</v>
      </c>
      <c r="L7022" s="1">
        <v>0.1135</v>
      </c>
      <c r="M7022" s="1">
        <v>1.2999999999999999E-3</v>
      </c>
      <c r="N7022" s="1">
        <v>5.8000000000000003E-2</v>
      </c>
      <c r="O7022" s="1">
        <v>0.34870000000000001</v>
      </c>
      <c r="Q7022" s="1">
        <v>1.6799999999999999E-2</v>
      </c>
      <c r="R7022" s="1">
        <v>1.2800000000000001E-2</v>
      </c>
      <c r="S7022" s="1">
        <v>0.3236</v>
      </c>
      <c r="T7022" s="1">
        <v>5.5899999999999998E-2</v>
      </c>
    </row>
    <row r="7023" spans="1:21" x14ac:dyDescent="0.25">
      <c r="A7023" t="s">
        <v>203</v>
      </c>
      <c r="B7023">
        <v>165</v>
      </c>
      <c r="C7023" t="s">
        <v>201</v>
      </c>
      <c r="D7023">
        <v>1491</v>
      </c>
      <c r="E7023" s="1">
        <v>9.2999999999999992E-3</v>
      </c>
      <c r="F7023" s="1">
        <v>1.5299999999999999E-2</v>
      </c>
      <c r="G7023" s="1">
        <v>4.9500000000000002E-2</v>
      </c>
      <c r="H7023" s="1">
        <v>0.21199999999999999</v>
      </c>
      <c r="I7023" s="1">
        <v>1.2500000000000001E-2</v>
      </c>
      <c r="J7023" s="1">
        <v>0.61399999999999999</v>
      </c>
      <c r="K7023" s="1">
        <v>4.58E-2</v>
      </c>
      <c r="L7023" s="1">
        <v>8.8900000000000007E-2</v>
      </c>
      <c r="N7023" s="1">
        <v>0.10100000000000001</v>
      </c>
      <c r="O7023" s="1">
        <v>0.30769999999999997</v>
      </c>
      <c r="S7023" s="1">
        <v>0.40429999999999999</v>
      </c>
      <c r="T7023" s="1">
        <v>3.3000000000000002E-2</v>
      </c>
    </row>
    <row r="7024" spans="1:21" x14ac:dyDescent="0.25">
      <c r="A7024" t="s">
        <v>203</v>
      </c>
      <c r="B7024">
        <v>42</v>
      </c>
      <c r="C7024" t="s">
        <v>202</v>
      </c>
      <c r="D7024">
        <v>1491</v>
      </c>
      <c r="E7024" s="1">
        <v>2.3099999999999999E-2</v>
      </c>
      <c r="F7024" s="1">
        <v>3.9100000000000003E-2</v>
      </c>
      <c r="G7024" s="1">
        <v>2.69E-2</v>
      </c>
      <c r="H7024" s="1">
        <v>0.13830000000000001</v>
      </c>
      <c r="I7024" s="1">
        <v>2.2800000000000001E-2</v>
      </c>
      <c r="J7024" s="1">
        <v>0.4536</v>
      </c>
      <c r="L7024" s="1">
        <v>0.1201</v>
      </c>
      <c r="N7024" s="1">
        <v>2.3099999999999999E-2</v>
      </c>
      <c r="O7024" s="1">
        <v>0.16700000000000001</v>
      </c>
      <c r="P7024" s="1">
        <v>1.5599999999999999E-2</v>
      </c>
      <c r="Q7024" s="1">
        <v>1.2999999999999999E-2</v>
      </c>
      <c r="R7024" s="1">
        <v>1.2999999999999999E-2</v>
      </c>
      <c r="S7024" s="1">
        <v>0.4879</v>
      </c>
      <c r="T7024" s="1">
        <v>0.22339999999999999</v>
      </c>
    </row>
    <row r="7025" spans="1:20" x14ac:dyDescent="0.25">
      <c r="A7025" t="s">
        <v>204</v>
      </c>
      <c r="B7025">
        <v>1491</v>
      </c>
      <c r="C7025" t="s">
        <v>204</v>
      </c>
      <c r="D7025">
        <v>1491</v>
      </c>
      <c r="E7025" s="1">
        <v>2.3400000000000001E-2</v>
      </c>
      <c r="F7025" s="1">
        <v>8.2000000000000007E-3</v>
      </c>
      <c r="G7025" s="1">
        <v>5.9900000000000002E-2</v>
      </c>
      <c r="H7025" s="1">
        <v>0.14460000000000001</v>
      </c>
      <c r="I7025" s="1">
        <v>1.8100000000000002E-2</v>
      </c>
      <c r="J7025" s="1">
        <v>0.56389999999999996</v>
      </c>
      <c r="K7025" s="1">
        <v>1.5900000000000001E-2</v>
      </c>
      <c r="L7025" s="1">
        <v>7.0699999999999999E-2</v>
      </c>
      <c r="M7025" s="1">
        <v>2.0000000000000001E-4</v>
      </c>
      <c r="N7025" s="1">
        <v>3.9699999999999999E-2</v>
      </c>
      <c r="O7025" s="1">
        <v>0.39279999999999998</v>
      </c>
      <c r="P7025" s="1">
        <v>6.9999999999999999E-4</v>
      </c>
      <c r="Q7025" s="1">
        <v>1.2699999999999999E-2</v>
      </c>
      <c r="R7025" s="1">
        <v>8.8000000000000005E-3</v>
      </c>
      <c r="S7025" s="1">
        <v>0.34649999999999997</v>
      </c>
      <c r="T7025" s="1">
        <v>6.4600000000000005E-2</v>
      </c>
    </row>
    <row r="7027" spans="1:20" x14ac:dyDescent="0.25">
      <c r="A7027" t="s">
        <v>1295</v>
      </c>
    </row>
    <row r="7028" spans="1:20" x14ac:dyDescent="0.25">
      <c r="A7028" t="s">
        <v>190</v>
      </c>
      <c r="B7028" t="s">
        <v>195</v>
      </c>
      <c r="C7028" t="s">
        <v>189</v>
      </c>
      <c r="D7028" t="s">
        <v>196</v>
      </c>
      <c r="E7028" t="s">
        <v>220</v>
      </c>
      <c r="F7028" t="s">
        <v>207</v>
      </c>
      <c r="G7028" t="s">
        <v>215</v>
      </c>
      <c r="H7028" t="s">
        <v>208</v>
      </c>
    </row>
    <row r="7029" spans="1:20" x14ac:dyDescent="0.25">
      <c r="A7029" t="s">
        <v>198</v>
      </c>
      <c r="B7029">
        <v>51</v>
      </c>
      <c r="C7029" t="s">
        <v>197</v>
      </c>
      <c r="D7029">
        <v>1558</v>
      </c>
      <c r="E7029" s="1">
        <v>5.16E-2</v>
      </c>
      <c r="F7029" s="1">
        <v>0.76819999999999999</v>
      </c>
      <c r="H7029" s="1">
        <v>0.18029999999999999</v>
      </c>
    </row>
    <row r="7030" spans="1:20" x14ac:dyDescent="0.25">
      <c r="A7030" t="s">
        <v>198</v>
      </c>
      <c r="B7030">
        <v>311</v>
      </c>
      <c r="C7030" t="s">
        <v>199</v>
      </c>
      <c r="D7030">
        <v>1558</v>
      </c>
      <c r="E7030" s="1">
        <v>0.10970000000000001</v>
      </c>
      <c r="F7030" s="1">
        <v>0.63149999999999995</v>
      </c>
      <c r="H7030" s="1">
        <v>0.25879999999999997</v>
      </c>
    </row>
    <row r="7031" spans="1:20" x14ac:dyDescent="0.25">
      <c r="A7031" t="s">
        <v>198</v>
      </c>
      <c r="B7031">
        <v>250</v>
      </c>
      <c r="C7031" t="s">
        <v>200</v>
      </c>
      <c r="D7031">
        <v>1558</v>
      </c>
      <c r="E7031" s="1">
        <v>0.13100000000000001</v>
      </c>
      <c r="F7031" s="1">
        <v>0.69710000000000005</v>
      </c>
      <c r="G7031" s="1">
        <v>8.0999999999999996E-3</v>
      </c>
      <c r="H7031" s="1">
        <v>0.1638</v>
      </c>
    </row>
    <row r="7032" spans="1:20" x14ac:dyDescent="0.25">
      <c r="A7032" t="s">
        <v>198</v>
      </c>
      <c r="B7032">
        <v>197</v>
      </c>
      <c r="C7032" t="s">
        <v>201</v>
      </c>
      <c r="D7032">
        <v>1558</v>
      </c>
      <c r="E7032" s="1">
        <v>9.11E-2</v>
      </c>
      <c r="F7032" s="1">
        <v>0.6119</v>
      </c>
      <c r="H7032" s="1">
        <v>0.29699999999999999</v>
      </c>
    </row>
    <row r="7033" spans="1:20" x14ac:dyDescent="0.25">
      <c r="A7033" t="s">
        <v>198</v>
      </c>
      <c r="B7033">
        <v>71</v>
      </c>
      <c r="C7033" t="s">
        <v>202</v>
      </c>
      <c r="D7033">
        <v>1558</v>
      </c>
      <c r="E7033" s="1">
        <v>0.16170000000000001</v>
      </c>
      <c r="F7033" s="1">
        <v>0.64170000000000005</v>
      </c>
      <c r="H7033" s="1">
        <v>0.1966</v>
      </c>
    </row>
    <row r="7034" spans="1:20" x14ac:dyDescent="0.25">
      <c r="A7034" t="s">
        <v>203</v>
      </c>
      <c r="B7034">
        <v>365</v>
      </c>
      <c r="C7034" t="s">
        <v>199</v>
      </c>
      <c r="D7034">
        <v>1558</v>
      </c>
      <c r="E7034" s="1">
        <v>9.8900000000000002E-2</v>
      </c>
      <c r="F7034" s="1">
        <v>0.66690000000000005</v>
      </c>
      <c r="G7034" s="1">
        <v>3.0000000000000001E-3</v>
      </c>
      <c r="H7034" s="1">
        <v>0.2311</v>
      </c>
    </row>
    <row r="7035" spans="1:20" x14ac:dyDescent="0.25">
      <c r="A7035" t="s">
        <v>203</v>
      </c>
      <c r="B7035">
        <v>91</v>
      </c>
      <c r="C7035" t="s">
        <v>200</v>
      </c>
      <c r="D7035">
        <v>1558</v>
      </c>
      <c r="E7035" s="1">
        <v>5.2499999999999998E-2</v>
      </c>
      <c r="F7035" s="1">
        <v>0.74329999999999996</v>
      </c>
      <c r="G7035" s="1">
        <v>2.0400000000000001E-2</v>
      </c>
      <c r="H7035" s="1">
        <v>0.1837</v>
      </c>
    </row>
    <row r="7036" spans="1:20" x14ac:dyDescent="0.25">
      <c r="A7036" t="s">
        <v>203</v>
      </c>
      <c r="B7036">
        <v>211</v>
      </c>
      <c r="C7036" t="s">
        <v>201</v>
      </c>
      <c r="D7036">
        <v>1558</v>
      </c>
      <c r="E7036" s="1">
        <v>0.1004</v>
      </c>
      <c r="F7036" s="1">
        <v>0.72909999999999997</v>
      </c>
      <c r="H7036" s="1">
        <v>0.1704</v>
      </c>
    </row>
    <row r="7037" spans="1:20" s="29" customFormat="1" x14ac:dyDescent="0.25">
      <c r="A7037" s="29" t="s">
        <v>203</v>
      </c>
      <c r="B7037" s="29">
        <v>11</v>
      </c>
      <c r="C7037" s="29" t="s">
        <v>202</v>
      </c>
      <c r="D7037" s="29">
        <v>1558</v>
      </c>
      <c r="E7037" s="30">
        <v>4.7199999999999999E-2</v>
      </c>
      <c r="F7037" s="30">
        <v>0.87790000000000001</v>
      </c>
      <c r="G7037" s="30">
        <v>7.4899999999999994E-2</v>
      </c>
    </row>
    <row r="7038" spans="1:20" x14ac:dyDescent="0.25">
      <c r="A7038" t="s">
        <v>204</v>
      </c>
      <c r="B7038">
        <v>1558</v>
      </c>
      <c r="C7038" t="s">
        <v>204</v>
      </c>
      <c r="D7038">
        <v>1558</v>
      </c>
      <c r="E7038" s="1">
        <v>0.1091</v>
      </c>
      <c r="F7038" s="1">
        <v>0.67390000000000005</v>
      </c>
      <c r="G7038" s="1">
        <v>3.8E-3</v>
      </c>
      <c r="H7038" s="1">
        <v>0.21329999999999999</v>
      </c>
    </row>
    <row r="7040" spans="1:20" x14ac:dyDescent="0.25">
      <c r="A7040" t="s">
        <v>1296</v>
      </c>
    </row>
    <row r="7041" spans="1:13" x14ac:dyDescent="0.25">
      <c r="A7041" t="s">
        <v>190</v>
      </c>
      <c r="B7041" t="s">
        <v>195</v>
      </c>
      <c r="C7041" t="s">
        <v>189</v>
      </c>
      <c r="D7041" t="s">
        <v>196</v>
      </c>
      <c r="E7041" t="s">
        <v>220</v>
      </c>
      <c r="F7041" t="s">
        <v>1297</v>
      </c>
      <c r="G7041" t="s">
        <v>235</v>
      </c>
      <c r="H7041" t="s">
        <v>215</v>
      </c>
      <c r="I7041" t="s">
        <v>1298</v>
      </c>
      <c r="J7041" t="s">
        <v>1299</v>
      </c>
    </row>
    <row r="7042" spans="1:13" x14ac:dyDescent="0.25">
      <c r="A7042" t="s">
        <v>198</v>
      </c>
      <c r="B7042">
        <v>57</v>
      </c>
      <c r="C7042" t="s">
        <v>197</v>
      </c>
      <c r="D7042">
        <v>1463</v>
      </c>
      <c r="I7042" s="1">
        <v>5.4399999999999997E-2</v>
      </c>
      <c r="J7042" s="1">
        <v>0.9456</v>
      </c>
    </row>
    <row r="7043" spans="1:13" x14ac:dyDescent="0.25">
      <c r="A7043" t="s">
        <v>198</v>
      </c>
      <c r="B7043">
        <v>251</v>
      </c>
      <c r="C7043" t="s">
        <v>199</v>
      </c>
      <c r="D7043">
        <v>1463</v>
      </c>
      <c r="I7043" s="1">
        <v>0.16059999999999999</v>
      </c>
      <c r="J7043" s="1">
        <v>0.83940000000000003</v>
      </c>
    </row>
    <row r="7044" spans="1:13" x14ac:dyDescent="0.25">
      <c r="A7044" t="s">
        <v>198</v>
      </c>
      <c r="B7044">
        <v>249</v>
      </c>
      <c r="C7044" t="s">
        <v>200</v>
      </c>
      <c r="D7044">
        <v>1463</v>
      </c>
      <c r="E7044" s="1">
        <v>1.5900000000000001E-2</v>
      </c>
      <c r="I7044" s="1">
        <v>6.3100000000000003E-2</v>
      </c>
      <c r="J7044" s="1">
        <v>0.92100000000000004</v>
      </c>
    </row>
    <row r="7045" spans="1:13" x14ac:dyDescent="0.25">
      <c r="A7045" t="s">
        <v>198</v>
      </c>
      <c r="B7045">
        <v>159</v>
      </c>
      <c r="C7045" t="s">
        <v>201</v>
      </c>
      <c r="D7045">
        <v>1463</v>
      </c>
      <c r="I7045" s="1">
        <v>8.5999999999999993E-2</v>
      </c>
      <c r="J7045" s="1">
        <v>0.91400000000000003</v>
      </c>
    </row>
    <row r="7046" spans="1:13" x14ac:dyDescent="0.25">
      <c r="A7046" t="s">
        <v>198</v>
      </c>
      <c r="B7046">
        <v>63</v>
      </c>
      <c r="C7046" t="s">
        <v>202</v>
      </c>
      <c r="D7046">
        <v>1463</v>
      </c>
      <c r="I7046" s="1">
        <v>3.6299999999999999E-2</v>
      </c>
      <c r="J7046" s="1">
        <v>0.9637</v>
      </c>
    </row>
    <row r="7047" spans="1:13" x14ac:dyDescent="0.25">
      <c r="A7047" t="s">
        <v>203</v>
      </c>
      <c r="B7047">
        <v>278</v>
      </c>
      <c r="C7047" t="s">
        <v>199</v>
      </c>
      <c r="D7047">
        <v>1463</v>
      </c>
      <c r="E7047" s="1">
        <v>2E-3</v>
      </c>
      <c r="H7047" s="1">
        <v>1.1000000000000001E-3</v>
      </c>
      <c r="I7047" s="1">
        <v>0.18720000000000001</v>
      </c>
      <c r="J7047" s="1">
        <v>0.80969999999999998</v>
      </c>
    </row>
    <row r="7048" spans="1:13" x14ac:dyDescent="0.25">
      <c r="A7048" t="s">
        <v>203</v>
      </c>
      <c r="B7048">
        <v>207</v>
      </c>
      <c r="C7048" t="s">
        <v>200</v>
      </c>
      <c r="D7048">
        <v>1463</v>
      </c>
      <c r="G7048" s="1">
        <v>4.0000000000000002E-4</v>
      </c>
      <c r="I7048" s="1">
        <v>0.1195</v>
      </c>
      <c r="J7048" s="1">
        <v>0.88009999999999999</v>
      </c>
    </row>
    <row r="7049" spans="1:13" x14ac:dyDescent="0.25">
      <c r="A7049" t="s">
        <v>203</v>
      </c>
      <c r="B7049">
        <v>161</v>
      </c>
      <c r="C7049" t="s">
        <v>201</v>
      </c>
      <c r="D7049">
        <v>1463</v>
      </c>
      <c r="E7049" s="1">
        <v>2.7000000000000001E-3</v>
      </c>
      <c r="I7049" s="1">
        <v>0.1032</v>
      </c>
      <c r="J7049" s="1">
        <v>0.89410000000000001</v>
      </c>
    </row>
    <row r="7050" spans="1:13" x14ac:dyDescent="0.25">
      <c r="A7050" t="s">
        <v>203</v>
      </c>
      <c r="B7050">
        <v>38</v>
      </c>
      <c r="C7050" t="s">
        <v>202</v>
      </c>
      <c r="D7050">
        <v>1463</v>
      </c>
      <c r="F7050" s="1">
        <v>1.38E-2</v>
      </c>
      <c r="J7050" s="1">
        <v>0.98619999999999997</v>
      </c>
    </row>
    <row r="7051" spans="1:13" x14ac:dyDescent="0.25">
      <c r="A7051" t="s">
        <v>204</v>
      </c>
      <c r="B7051">
        <v>1463</v>
      </c>
      <c r="C7051" t="s">
        <v>204</v>
      </c>
      <c r="D7051">
        <v>1463</v>
      </c>
      <c r="E7051" s="1">
        <v>2.8E-3</v>
      </c>
      <c r="F7051" s="1">
        <v>5.0000000000000001E-4</v>
      </c>
      <c r="G7051" s="1">
        <v>1E-4</v>
      </c>
      <c r="H7051" s="1">
        <v>1E-4</v>
      </c>
      <c r="I7051" s="1">
        <v>0.1028</v>
      </c>
      <c r="J7051" s="1">
        <v>0.89370000000000005</v>
      </c>
    </row>
    <row r="7053" spans="1:13" x14ac:dyDescent="0.25">
      <c r="A7053" t="s">
        <v>1300</v>
      </c>
    </row>
    <row r="7054" spans="1:13" x14ac:dyDescent="0.25">
      <c r="A7054" t="s">
        <v>190</v>
      </c>
      <c r="B7054" t="s">
        <v>195</v>
      </c>
      <c r="C7054" t="s">
        <v>189</v>
      </c>
      <c r="D7054" t="s">
        <v>196</v>
      </c>
      <c r="E7054" t="s">
        <v>220</v>
      </c>
      <c r="F7054" t="s">
        <v>207</v>
      </c>
      <c r="G7054" t="s">
        <v>1301</v>
      </c>
      <c r="H7054" t="s">
        <v>215</v>
      </c>
      <c r="I7054" t="s">
        <v>1302</v>
      </c>
      <c r="J7054" t="s">
        <v>1303</v>
      </c>
      <c r="K7054" t="s">
        <v>1304</v>
      </c>
      <c r="L7054" t="s">
        <v>1305</v>
      </c>
      <c r="M7054" t="s">
        <v>1306</v>
      </c>
    </row>
    <row r="7055" spans="1:13" x14ac:dyDescent="0.25">
      <c r="A7055" t="s">
        <v>198</v>
      </c>
      <c r="B7055">
        <v>82</v>
      </c>
      <c r="C7055" t="s">
        <v>197</v>
      </c>
      <c r="D7055">
        <v>2623</v>
      </c>
      <c r="F7055" s="1">
        <v>0.51290000000000002</v>
      </c>
      <c r="K7055" s="1">
        <v>0.4733</v>
      </c>
      <c r="M7055" s="1">
        <v>1.38E-2</v>
      </c>
    </row>
    <row r="7056" spans="1:13" x14ac:dyDescent="0.25">
      <c r="A7056" t="s">
        <v>198</v>
      </c>
      <c r="B7056">
        <v>365</v>
      </c>
      <c r="C7056" t="s">
        <v>199</v>
      </c>
      <c r="D7056">
        <v>2623</v>
      </c>
      <c r="F7056" s="1">
        <v>0.4556</v>
      </c>
      <c r="H7056" s="1">
        <v>1.6999999999999999E-3</v>
      </c>
      <c r="I7056" s="1">
        <v>5.9999999999999995E-4</v>
      </c>
      <c r="J7056" s="1">
        <v>1.61E-2</v>
      </c>
      <c r="K7056" s="1">
        <v>0.53669999999999995</v>
      </c>
      <c r="L7056" s="1">
        <v>6.0000000000000001E-3</v>
      </c>
      <c r="M7056" s="1">
        <v>2E-3</v>
      </c>
    </row>
    <row r="7057" spans="1:17" x14ac:dyDescent="0.25">
      <c r="A7057" t="s">
        <v>198</v>
      </c>
      <c r="B7057">
        <v>387</v>
      </c>
      <c r="C7057" t="s">
        <v>200</v>
      </c>
      <c r="D7057">
        <v>2623</v>
      </c>
      <c r="E7057" s="1">
        <v>2.8999999999999998E-3</v>
      </c>
      <c r="F7057" s="1">
        <v>0.3503</v>
      </c>
      <c r="G7057" s="1">
        <v>1.7899999999999999E-2</v>
      </c>
      <c r="K7057" s="1">
        <v>0.63019999999999998</v>
      </c>
      <c r="L7057" s="1">
        <v>7.4000000000000003E-3</v>
      </c>
      <c r="M7057" s="1">
        <v>4.7000000000000002E-3</v>
      </c>
    </row>
    <row r="7058" spans="1:17" x14ac:dyDescent="0.25">
      <c r="A7058" t="s">
        <v>198</v>
      </c>
      <c r="B7058">
        <v>256</v>
      </c>
      <c r="C7058" t="s">
        <v>201</v>
      </c>
      <c r="D7058">
        <v>2623</v>
      </c>
      <c r="E7058" s="1">
        <v>2.9999999999999997E-4</v>
      </c>
      <c r="F7058" s="1">
        <v>0.34329999999999999</v>
      </c>
      <c r="G7058" s="1">
        <v>2.4199999999999999E-2</v>
      </c>
      <c r="I7058" s="1">
        <v>4.1999999999999997E-3</v>
      </c>
      <c r="J7058" s="1">
        <v>3.5000000000000001E-3</v>
      </c>
      <c r="K7058" s="1">
        <v>0.63290000000000002</v>
      </c>
      <c r="L7058" s="1">
        <v>1.67E-2</v>
      </c>
      <c r="M7058" s="1">
        <v>1.35E-2</v>
      </c>
    </row>
    <row r="7059" spans="1:17" x14ac:dyDescent="0.25">
      <c r="A7059" t="s">
        <v>198</v>
      </c>
      <c r="B7059">
        <v>95</v>
      </c>
      <c r="C7059" t="s">
        <v>202</v>
      </c>
      <c r="D7059">
        <v>2623</v>
      </c>
      <c r="F7059" s="1">
        <v>0.46920000000000001</v>
      </c>
      <c r="I7059" s="1">
        <v>4.1099999999999998E-2</v>
      </c>
      <c r="J7059" s="1">
        <v>2.5999999999999999E-3</v>
      </c>
      <c r="K7059" s="1">
        <v>0.51539999999999997</v>
      </c>
      <c r="L7059" s="1">
        <v>2.5999999999999999E-3</v>
      </c>
    </row>
    <row r="7060" spans="1:17" x14ac:dyDescent="0.25">
      <c r="A7060" t="s">
        <v>203</v>
      </c>
      <c r="B7060">
        <v>528</v>
      </c>
      <c r="C7060" t="s">
        <v>199</v>
      </c>
      <c r="D7060">
        <v>2623</v>
      </c>
      <c r="E7060" s="1">
        <v>1.77E-2</v>
      </c>
      <c r="F7060" s="1">
        <v>0.84299999999999997</v>
      </c>
      <c r="G7060" s="1">
        <v>5.9999999999999995E-4</v>
      </c>
      <c r="I7060" s="1">
        <v>1.2999999999999999E-3</v>
      </c>
      <c r="K7060" s="1">
        <v>0.12790000000000001</v>
      </c>
      <c r="L7060" s="1">
        <v>6.8999999999999999E-3</v>
      </c>
      <c r="M7060" s="1">
        <v>4.7999999999999996E-3</v>
      </c>
    </row>
    <row r="7061" spans="1:17" x14ac:dyDescent="0.25">
      <c r="A7061" t="s">
        <v>203</v>
      </c>
      <c r="B7061">
        <v>500</v>
      </c>
      <c r="C7061" t="s">
        <v>200</v>
      </c>
      <c r="D7061">
        <v>2623</v>
      </c>
      <c r="F7061" s="1">
        <v>0.94099999999999995</v>
      </c>
      <c r="G7061" s="1">
        <v>4.7999999999999996E-3</v>
      </c>
      <c r="I7061" s="1">
        <v>1.6000000000000001E-3</v>
      </c>
      <c r="J7061" s="1">
        <v>2.3E-3</v>
      </c>
      <c r="K7061" s="1">
        <v>4.53E-2</v>
      </c>
      <c r="L7061" s="1">
        <v>5.1000000000000004E-3</v>
      </c>
    </row>
    <row r="7062" spans="1:17" x14ac:dyDescent="0.25">
      <c r="A7062" t="s">
        <v>203</v>
      </c>
      <c r="B7062">
        <v>320</v>
      </c>
      <c r="C7062" t="s">
        <v>201</v>
      </c>
      <c r="D7062">
        <v>2623</v>
      </c>
      <c r="E7062" s="1">
        <v>2.06E-2</v>
      </c>
      <c r="F7062" s="1">
        <v>0.85170000000000001</v>
      </c>
      <c r="G7062" s="1">
        <v>1.6000000000000001E-3</v>
      </c>
      <c r="H7062" s="1">
        <v>7.4000000000000003E-3</v>
      </c>
      <c r="I7062" s="1">
        <v>8.0000000000000004E-4</v>
      </c>
      <c r="K7062" s="1">
        <v>0.1164</v>
      </c>
      <c r="L7062" s="1">
        <v>2.5000000000000001E-3</v>
      </c>
      <c r="M7062" s="1">
        <v>1.9E-3</v>
      </c>
    </row>
    <row r="7063" spans="1:17" x14ac:dyDescent="0.25">
      <c r="A7063" t="s">
        <v>203</v>
      </c>
      <c r="B7063">
        <v>90</v>
      </c>
      <c r="C7063" t="s">
        <v>202</v>
      </c>
      <c r="D7063">
        <v>2623</v>
      </c>
      <c r="F7063" s="1">
        <v>0.96060000000000001</v>
      </c>
      <c r="H7063" s="1">
        <v>4.8999999999999998E-3</v>
      </c>
      <c r="I7063" s="1">
        <v>1.0200000000000001E-2</v>
      </c>
      <c r="K7063" s="1">
        <v>3.7000000000000002E-3</v>
      </c>
      <c r="L7063" s="1">
        <v>2.0500000000000001E-2</v>
      </c>
    </row>
    <row r="7064" spans="1:17" x14ac:dyDescent="0.25">
      <c r="A7064" t="s">
        <v>204</v>
      </c>
      <c r="B7064">
        <v>2623</v>
      </c>
      <c r="C7064" t="s">
        <v>204</v>
      </c>
      <c r="D7064">
        <v>2623</v>
      </c>
      <c r="E7064" s="1">
        <v>3.8E-3</v>
      </c>
      <c r="F7064" s="1">
        <v>0.68859999999999999</v>
      </c>
      <c r="G7064" s="1">
        <v>5.0000000000000001E-3</v>
      </c>
      <c r="H7064" s="1">
        <v>8.9999999999999998E-4</v>
      </c>
      <c r="I7064" s="1">
        <v>5.3E-3</v>
      </c>
      <c r="J7064" s="1">
        <v>3.0999999999999999E-3</v>
      </c>
      <c r="K7064" s="1">
        <v>0.29289999999999999</v>
      </c>
      <c r="L7064" s="1">
        <v>6.3E-3</v>
      </c>
      <c r="M7064" s="1">
        <v>3.0999999999999999E-3</v>
      </c>
    </row>
    <row r="7066" spans="1:17" x14ac:dyDescent="0.25">
      <c r="A7066" t="s">
        <v>1307</v>
      </c>
    </row>
    <row r="7067" spans="1:17" x14ac:dyDescent="0.25">
      <c r="A7067" t="s">
        <v>190</v>
      </c>
      <c r="B7067" t="s">
        <v>195</v>
      </c>
      <c r="C7067" t="s">
        <v>189</v>
      </c>
      <c r="D7067" t="s">
        <v>196</v>
      </c>
      <c r="E7067" t="s">
        <v>220</v>
      </c>
      <c r="F7067" t="s">
        <v>271</v>
      </c>
      <c r="G7067" t="s">
        <v>215</v>
      </c>
      <c r="H7067" t="s">
        <v>1308</v>
      </c>
      <c r="I7067" t="s">
        <v>1309</v>
      </c>
      <c r="J7067" t="s">
        <v>1310</v>
      </c>
      <c r="K7067" t="s">
        <v>1311</v>
      </c>
      <c r="L7067" t="s">
        <v>1312</v>
      </c>
      <c r="M7067" t="s">
        <v>1313</v>
      </c>
      <c r="N7067" t="s">
        <v>1314</v>
      </c>
      <c r="O7067" t="s">
        <v>1315</v>
      </c>
      <c r="P7067" t="s">
        <v>1316</v>
      </c>
      <c r="Q7067" t="s">
        <v>1317</v>
      </c>
    </row>
    <row r="7068" spans="1:17" x14ac:dyDescent="0.25">
      <c r="A7068" t="s">
        <v>198</v>
      </c>
      <c r="B7068">
        <v>82</v>
      </c>
      <c r="C7068" t="s">
        <v>197</v>
      </c>
      <c r="D7068">
        <v>2633</v>
      </c>
      <c r="E7068" s="1">
        <v>2.12E-2</v>
      </c>
      <c r="F7068" s="1">
        <v>0.68879999999999997</v>
      </c>
      <c r="H7068" s="1">
        <v>3.1800000000000002E-2</v>
      </c>
      <c r="I7068" s="1">
        <v>1.0999999999999999E-2</v>
      </c>
      <c r="J7068" s="1">
        <v>3.3500000000000002E-2</v>
      </c>
      <c r="K7068" s="1">
        <v>0.1022</v>
      </c>
      <c r="L7068" s="1">
        <v>0.16489999999999999</v>
      </c>
      <c r="M7068" s="1">
        <v>5.2600000000000001E-2</v>
      </c>
      <c r="N7068" s="1">
        <v>4.2900000000000001E-2</v>
      </c>
      <c r="O7068" s="1">
        <v>1.0999999999999999E-2</v>
      </c>
      <c r="P7068" s="1">
        <v>4.5600000000000002E-2</v>
      </c>
      <c r="Q7068" s="1">
        <v>2.12E-2</v>
      </c>
    </row>
    <row r="7069" spans="1:17" x14ac:dyDescent="0.25">
      <c r="A7069" t="s">
        <v>198</v>
      </c>
      <c r="B7069">
        <v>368</v>
      </c>
      <c r="C7069" t="s">
        <v>199</v>
      </c>
      <c r="D7069">
        <v>2633</v>
      </c>
      <c r="E7069" s="1">
        <v>2E-3</v>
      </c>
      <c r="F7069" s="1">
        <v>0.70250000000000001</v>
      </c>
      <c r="G7069" s="1">
        <v>8.0000000000000004E-4</v>
      </c>
      <c r="H7069" s="1">
        <v>5.3E-3</v>
      </c>
      <c r="I7069" s="1">
        <v>6.4000000000000003E-3</v>
      </c>
      <c r="J7069" s="1">
        <v>3.5799999999999998E-2</v>
      </c>
      <c r="K7069" s="1">
        <v>0.1164</v>
      </c>
      <c r="L7069" s="1">
        <v>0.1004</v>
      </c>
      <c r="M7069" s="1">
        <v>2.9000000000000001E-2</v>
      </c>
      <c r="N7069" s="1">
        <v>2.0400000000000001E-2</v>
      </c>
      <c r="O7069" s="1">
        <v>8.2000000000000007E-3</v>
      </c>
      <c r="P7069" s="1">
        <v>7.0699999999999999E-2</v>
      </c>
      <c r="Q7069" s="1">
        <v>6.7000000000000002E-3</v>
      </c>
    </row>
    <row r="7070" spans="1:17" x14ac:dyDescent="0.25">
      <c r="A7070" t="s">
        <v>198</v>
      </c>
      <c r="B7070">
        <v>387</v>
      </c>
      <c r="C7070" t="s">
        <v>200</v>
      </c>
      <c r="D7070">
        <v>2633</v>
      </c>
      <c r="E7070" s="1">
        <v>1.3899999999999999E-2</v>
      </c>
      <c r="F7070" s="1">
        <v>0.74439999999999995</v>
      </c>
      <c r="G7070" s="1">
        <v>7.6E-3</v>
      </c>
      <c r="H7070" s="1">
        <v>1.9E-2</v>
      </c>
      <c r="I7070" s="1">
        <v>2.75E-2</v>
      </c>
      <c r="J7070" s="1">
        <v>2.1600000000000001E-2</v>
      </c>
      <c r="K7070" s="1">
        <v>4.58E-2</v>
      </c>
      <c r="L7070" s="1">
        <v>0.1055</v>
      </c>
      <c r="M7070" s="1">
        <v>3.3500000000000002E-2</v>
      </c>
      <c r="N7070" s="1">
        <v>2.2599999999999999E-2</v>
      </c>
      <c r="O7070" s="1">
        <v>6.6E-3</v>
      </c>
      <c r="P7070" s="1">
        <v>5.74E-2</v>
      </c>
    </row>
    <row r="7071" spans="1:17" x14ac:dyDescent="0.25">
      <c r="A7071" t="s">
        <v>198</v>
      </c>
      <c r="B7071">
        <v>256</v>
      </c>
      <c r="C7071" t="s">
        <v>201</v>
      </c>
      <c r="D7071">
        <v>2633</v>
      </c>
      <c r="E7071" s="1">
        <v>2.2200000000000001E-2</v>
      </c>
      <c r="F7071" s="1">
        <v>0.72619999999999996</v>
      </c>
      <c r="G7071" s="1">
        <v>0.01</v>
      </c>
      <c r="H7071" s="1">
        <v>1.52E-2</v>
      </c>
      <c r="I7071" s="1">
        <v>9.2999999999999992E-3</v>
      </c>
      <c r="J7071" s="1">
        <v>1.52E-2</v>
      </c>
      <c r="K7071" s="1">
        <v>9.3899999999999997E-2</v>
      </c>
      <c r="L7071" s="1">
        <v>8.7999999999999995E-2</v>
      </c>
      <c r="M7071" s="1">
        <v>3.1699999999999999E-2</v>
      </c>
      <c r="N7071" s="1">
        <v>2.29E-2</v>
      </c>
      <c r="O7071" s="1">
        <v>4.7999999999999996E-3</v>
      </c>
      <c r="P7071" s="1">
        <v>6.6799999999999998E-2</v>
      </c>
      <c r="Q7071" s="1">
        <v>2.5700000000000001E-2</v>
      </c>
    </row>
    <row r="7072" spans="1:17" x14ac:dyDescent="0.25">
      <c r="A7072" t="s">
        <v>198</v>
      </c>
      <c r="B7072">
        <v>96</v>
      </c>
      <c r="C7072" t="s">
        <v>202</v>
      </c>
      <c r="D7072">
        <v>2633</v>
      </c>
      <c r="E7072" s="1">
        <v>2.58E-2</v>
      </c>
      <c r="F7072" s="1">
        <v>0.72309999999999997</v>
      </c>
      <c r="G7072" s="1">
        <v>1.9E-2</v>
      </c>
      <c r="H7072" s="1">
        <v>1.8700000000000001E-2</v>
      </c>
      <c r="J7072" s="1">
        <v>7.4200000000000002E-2</v>
      </c>
      <c r="K7072" s="1">
        <v>3.3099999999999997E-2</v>
      </c>
      <c r="L7072" s="1">
        <v>8.3699999999999997E-2</v>
      </c>
      <c r="M7072" s="1">
        <v>2.5000000000000001E-3</v>
      </c>
      <c r="N7072" s="1">
        <v>3.5299999999999998E-2</v>
      </c>
      <c r="O7072" s="1">
        <v>8.0000000000000002E-3</v>
      </c>
      <c r="P7072" s="1">
        <v>3.2800000000000003E-2</v>
      </c>
      <c r="Q7072" s="1">
        <v>2.52E-2</v>
      </c>
    </row>
    <row r="7073" spans="1:17" x14ac:dyDescent="0.25">
      <c r="A7073" t="s">
        <v>203</v>
      </c>
      <c r="B7073">
        <v>530</v>
      </c>
      <c r="C7073" t="s">
        <v>199</v>
      </c>
      <c r="D7073">
        <v>2633</v>
      </c>
      <c r="E7073" s="1">
        <v>2.8500000000000001E-2</v>
      </c>
      <c r="F7073" s="1">
        <v>0.89480000000000004</v>
      </c>
      <c r="H7073" s="1">
        <v>1.21E-2</v>
      </c>
      <c r="I7073" s="1">
        <v>5.0000000000000001E-4</v>
      </c>
      <c r="J7073" s="1">
        <v>1.41E-2</v>
      </c>
      <c r="K7073" s="1">
        <v>5.9999999999999995E-4</v>
      </c>
      <c r="L7073" s="1">
        <v>1.6400000000000001E-2</v>
      </c>
      <c r="M7073" s="1">
        <v>1.6E-2</v>
      </c>
      <c r="N7073" s="1">
        <v>1.6999999999999999E-3</v>
      </c>
      <c r="O7073" s="1">
        <v>1.1000000000000001E-3</v>
      </c>
      <c r="P7073" s="1">
        <v>3.3099999999999997E-2</v>
      </c>
      <c r="Q7073" s="1">
        <v>4.5999999999999999E-3</v>
      </c>
    </row>
    <row r="7074" spans="1:17" x14ac:dyDescent="0.25">
      <c r="A7074" t="s">
        <v>203</v>
      </c>
      <c r="B7074">
        <v>503</v>
      </c>
      <c r="C7074" t="s">
        <v>200</v>
      </c>
      <c r="D7074">
        <v>2633</v>
      </c>
      <c r="E7074" s="1">
        <v>9.2999999999999992E-3</v>
      </c>
      <c r="F7074" s="1">
        <v>0.87370000000000003</v>
      </c>
      <c r="G7074" s="1">
        <v>2.3199999999999998E-2</v>
      </c>
      <c r="H7074" s="1">
        <v>0.04</v>
      </c>
      <c r="J7074" s="1">
        <v>7.6E-3</v>
      </c>
      <c r="K7074" s="1">
        <v>1.6000000000000001E-3</v>
      </c>
      <c r="L7074" s="1">
        <v>1.2500000000000001E-2</v>
      </c>
      <c r="M7074" s="1">
        <v>1.1599999999999999E-2</v>
      </c>
      <c r="N7074" s="1">
        <v>3.0999999999999999E-3</v>
      </c>
      <c r="O7074" s="1">
        <v>9.5999999999999992E-3</v>
      </c>
      <c r="P7074" s="1">
        <v>1.7100000000000001E-2</v>
      </c>
      <c r="Q7074" s="1">
        <v>1.35E-2</v>
      </c>
    </row>
    <row r="7075" spans="1:17" x14ac:dyDescent="0.25">
      <c r="A7075" t="s">
        <v>203</v>
      </c>
      <c r="B7075">
        <v>321</v>
      </c>
      <c r="C7075" t="s">
        <v>201</v>
      </c>
      <c r="D7075">
        <v>2633</v>
      </c>
      <c r="E7075" s="1">
        <v>1.78E-2</v>
      </c>
      <c r="F7075" s="1">
        <v>0.85850000000000004</v>
      </c>
      <c r="G7075" s="1">
        <v>2.0000000000000001E-4</v>
      </c>
      <c r="H7075" s="1">
        <v>3.09E-2</v>
      </c>
      <c r="I7075" s="1">
        <v>6.9999999999999999E-4</v>
      </c>
      <c r="J7075" s="1">
        <v>1.3899999999999999E-2</v>
      </c>
      <c r="K7075" s="1">
        <v>2.5999999999999999E-3</v>
      </c>
      <c r="L7075" s="1">
        <v>6.7000000000000002E-3</v>
      </c>
      <c r="M7075" s="1">
        <v>1.2999999999999999E-2</v>
      </c>
      <c r="N7075" s="1">
        <v>2.3E-3</v>
      </c>
      <c r="P7075" s="1">
        <v>4.19E-2</v>
      </c>
      <c r="Q7075" s="1">
        <v>2.7400000000000001E-2</v>
      </c>
    </row>
    <row r="7076" spans="1:17" x14ac:dyDescent="0.25">
      <c r="A7076" t="s">
        <v>203</v>
      </c>
      <c r="B7076">
        <v>90</v>
      </c>
      <c r="C7076" t="s">
        <v>202</v>
      </c>
      <c r="D7076">
        <v>2633</v>
      </c>
      <c r="E7076" s="1">
        <v>2.93E-2</v>
      </c>
      <c r="F7076" s="1">
        <v>0.84460000000000002</v>
      </c>
      <c r="G7076" s="1">
        <v>4.8999999999999998E-3</v>
      </c>
      <c r="H7076" s="1">
        <v>1.8499999999999999E-2</v>
      </c>
      <c r="J7076" s="1">
        <v>4.7800000000000002E-2</v>
      </c>
      <c r="L7076" s="1">
        <v>8.8000000000000005E-3</v>
      </c>
      <c r="M7076" s="1">
        <v>1.6199999999999999E-2</v>
      </c>
      <c r="N7076" s="1">
        <v>1.37E-2</v>
      </c>
      <c r="O7076" s="1">
        <v>4.8999999999999998E-3</v>
      </c>
      <c r="P7076" s="1">
        <v>2.7E-2</v>
      </c>
    </row>
    <row r="7077" spans="1:17" x14ac:dyDescent="0.25">
      <c r="A7077" t="s">
        <v>204</v>
      </c>
      <c r="B7077">
        <v>2633</v>
      </c>
      <c r="C7077" t="s">
        <v>204</v>
      </c>
      <c r="D7077">
        <v>2633</v>
      </c>
      <c r="E7077" s="1">
        <v>1.5900000000000001E-2</v>
      </c>
      <c r="F7077" s="1">
        <v>0.80320000000000003</v>
      </c>
      <c r="G7077" s="1">
        <v>1.0699999999999999E-2</v>
      </c>
      <c r="H7077" s="1">
        <v>2.41E-2</v>
      </c>
      <c r="I7077" s="1">
        <v>5.4999999999999997E-3</v>
      </c>
      <c r="J7077" s="1">
        <v>2.4500000000000001E-2</v>
      </c>
      <c r="K7077" s="1">
        <v>3.5200000000000002E-2</v>
      </c>
      <c r="L7077" s="1">
        <v>5.5399999999999998E-2</v>
      </c>
      <c r="M7077" s="1">
        <v>2.0199999999999999E-2</v>
      </c>
      <c r="N7077" s="1">
        <v>1.46E-2</v>
      </c>
      <c r="O7077" s="1">
        <v>6.8999999999999999E-3</v>
      </c>
      <c r="P7077" s="1">
        <v>3.85E-2</v>
      </c>
      <c r="Q7077" s="1">
        <v>1.21E-2</v>
      </c>
    </row>
    <row r="7079" spans="1:17" x14ac:dyDescent="0.25">
      <c r="A7079" t="s">
        <v>1318</v>
      </c>
    </row>
    <row r="7080" spans="1:17" x14ac:dyDescent="0.25">
      <c r="A7080" t="s">
        <v>190</v>
      </c>
      <c r="B7080" t="s">
        <v>195</v>
      </c>
      <c r="C7080" t="s">
        <v>189</v>
      </c>
      <c r="D7080" t="s">
        <v>196</v>
      </c>
      <c r="E7080" t="s">
        <v>220</v>
      </c>
      <c r="F7080" t="s">
        <v>207</v>
      </c>
      <c r="G7080" t="s">
        <v>215</v>
      </c>
      <c r="H7080" t="s">
        <v>208</v>
      </c>
    </row>
    <row r="7081" spans="1:17" x14ac:dyDescent="0.25">
      <c r="A7081" t="s">
        <v>198</v>
      </c>
      <c r="B7081">
        <v>81</v>
      </c>
      <c r="C7081" t="s">
        <v>197</v>
      </c>
      <c r="D7081">
        <v>2622</v>
      </c>
      <c r="E7081" s="1">
        <v>3.78E-2</v>
      </c>
      <c r="F7081" s="1">
        <v>0.76619999999999999</v>
      </c>
      <c r="G7081" s="1">
        <v>1.3899999999999999E-2</v>
      </c>
      <c r="H7081" s="1">
        <v>0.182</v>
      </c>
    </row>
    <row r="7082" spans="1:17" x14ac:dyDescent="0.25">
      <c r="A7082" t="s">
        <v>198</v>
      </c>
      <c r="B7082">
        <v>365</v>
      </c>
      <c r="C7082" t="s">
        <v>199</v>
      </c>
      <c r="D7082">
        <v>2622</v>
      </c>
      <c r="E7082" s="1">
        <v>2.12E-2</v>
      </c>
      <c r="F7082" s="1">
        <v>0.69689999999999996</v>
      </c>
      <c r="H7082" s="1">
        <v>0.28189999999999998</v>
      </c>
    </row>
    <row r="7083" spans="1:17" x14ac:dyDescent="0.25">
      <c r="A7083" t="s">
        <v>198</v>
      </c>
      <c r="B7083">
        <v>386</v>
      </c>
      <c r="C7083" t="s">
        <v>200</v>
      </c>
      <c r="D7083">
        <v>2622</v>
      </c>
      <c r="E7083" s="1">
        <v>1.6899999999999998E-2</v>
      </c>
      <c r="F7083" s="1">
        <v>0.69520000000000004</v>
      </c>
      <c r="H7083" s="1">
        <v>0.2878</v>
      </c>
    </row>
    <row r="7084" spans="1:17" x14ac:dyDescent="0.25">
      <c r="A7084" t="s">
        <v>198</v>
      </c>
      <c r="B7084">
        <v>253</v>
      </c>
      <c r="C7084" t="s">
        <v>201</v>
      </c>
      <c r="D7084">
        <v>2622</v>
      </c>
      <c r="E7084" s="1">
        <v>1.06E-2</v>
      </c>
      <c r="F7084" s="1">
        <v>0.68440000000000001</v>
      </c>
      <c r="H7084" s="1">
        <v>0.30499999999999999</v>
      </c>
    </row>
    <row r="7085" spans="1:17" x14ac:dyDescent="0.25">
      <c r="A7085" t="s">
        <v>198</v>
      </c>
      <c r="B7085">
        <v>96</v>
      </c>
      <c r="C7085" t="s">
        <v>202</v>
      </c>
      <c r="D7085">
        <v>2622</v>
      </c>
      <c r="E7085" s="1">
        <v>1.6E-2</v>
      </c>
      <c r="F7085" s="1">
        <v>0.57379999999999998</v>
      </c>
      <c r="H7085" s="1">
        <v>0.41020000000000001</v>
      </c>
    </row>
    <row r="7086" spans="1:17" x14ac:dyDescent="0.25">
      <c r="A7086" t="s">
        <v>203</v>
      </c>
      <c r="B7086">
        <v>529</v>
      </c>
      <c r="C7086" t="s">
        <v>199</v>
      </c>
      <c r="D7086">
        <v>2622</v>
      </c>
      <c r="E7086" s="1">
        <v>1.14E-2</v>
      </c>
      <c r="F7086" s="1">
        <v>0.78029999999999999</v>
      </c>
      <c r="H7086" s="1">
        <v>0.20830000000000001</v>
      </c>
    </row>
    <row r="7087" spans="1:17" x14ac:dyDescent="0.25">
      <c r="A7087" t="s">
        <v>203</v>
      </c>
      <c r="B7087">
        <v>502</v>
      </c>
      <c r="C7087" t="s">
        <v>200</v>
      </c>
      <c r="D7087">
        <v>2622</v>
      </c>
      <c r="E7087" s="1">
        <v>5.8999999999999999E-3</v>
      </c>
      <c r="F7087" s="1">
        <v>0.86250000000000004</v>
      </c>
      <c r="H7087" s="1">
        <v>0.13159999999999999</v>
      </c>
    </row>
    <row r="7088" spans="1:17" x14ac:dyDescent="0.25">
      <c r="A7088" t="s">
        <v>203</v>
      </c>
      <c r="B7088">
        <v>321</v>
      </c>
      <c r="C7088" t="s">
        <v>201</v>
      </c>
      <c r="D7088">
        <v>2622</v>
      </c>
      <c r="E7088" s="1">
        <v>1.9E-2</v>
      </c>
      <c r="F7088" s="1">
        <v>0.8962</v>
      </c>
      <c r="G7088" s="1">
        <v>4.3E-3</v>
      </c>
      <c r="H7088" s="1">
        <v>8.0500000000000002E-2</v>
      </c>
    </row>
    <row r="7089" spans="1:16" x14ac:dyDescent="0.25">
      <c r="A7089" t="s">
        <v>203</v>
      </c>
      <c r="B7089">
        <v>89</v>
      </c>
      <c r="C7089" t="s">
        <v>202</v>
      </c>
      <c r="D7089">
        <v>2622</v>
      </c>
      <c r="E7089" s="1">
        <v>2.7099999999999999E-2</v>
      </c>
      <c r="F7089" s="1">
        <v>0.75719999999999998</v>
      </c>
      <c r="H7089" s="1">
        <v>0.2157</v>
      </c>
    </row>
    <row r="7090" spans="1:16" x14ac:dyDescent="0.25">
      <c r="A7090" t="s">
        <v>204</v>
      </c>
      <c r="B7090">
        <v>2622</v>
      </c>
      <c r="C7090" t="s">
        <v>204</v>
      </c>
      <c r="D7090">
        <v>2622</v>
      </c>
      <c r="E7090" s="1">
        <v>1.4999999999999999E-2</v>
      </c>
      <c r="F7090" s="1">
        <v>0.76429999999999998</v>
      </c>
      <c r="G7090" s="1">
        <v>1.1000000000000001E-3</v>
      </c>
      <c r="H7090" s="1">
        <v>0.21959999999999999</v>
      </c>
    </row>
    <row r="7092" spans="1:16" x14ac:dyDescent="0.25">
      <c r="A7092" t="s">
        <v>1319</v>
      </c>
    </row>
    <row r="7093" spans="1:16" x14ac:dyDescent="0.25">
      <c r="A7093" t="s">
        <v>190</v>
      </c>
      <c r="B7093" t="s">
        <v>195</v>
      </c>
      <c r="C7093" t="s">
        <v>189</v>
      </c>
      <c r="D7093" t="s">
        <v>196</v>
      </c>
      <c r="E7093" t="s">
        <v>271</v>
      </c>
      <c r="F7093" t="s">
        <v>235</v>
      </c>
      <c r="G7093" t="s">
        <v>1320</v>
      </c>
      <c r="H7093" t="s">
        <v>1321</v>
      </c>
      <c r="I7093" t="s">
        <v>1250</v>
      </c>
      <c r="J7093" t="s">
        <v>1322</v>
      </c>
      <c r="K7093" t="s">
        <v>1323</v>
      </c>
      <c r="L7093" t="s">
        <v>1324</v>
      </c>
      <c r="M7093" t="s">
        <v>1325</v>
      </c>
      <c r="N7093" t="s">
        <v>1326</v>
      </c>
      <c r="O7093" t="s">
        <v>1327</v>
      </c>
      <c r="P7093" t="s">
        <v>1328</v>
      </c>
    </row>
    <row r="7094" spans="1:16" s="29" customFormat="1" x14ac:dyDescent="0.25">
      <c r="A7094" s="29" t="s">
        <v>198</v>
      </c>
      <c r="B7094" s="29">
        <v>13</v>
      </c>
      <c r="C7094" s="29" t="s">
        <v>197</v>
      </c>
      <c r="D7094" s="29">
        <v>568</v>
      </c>
      <c r="E7094" s="30">
        <v>0.7792</v>
      </c>
      <c r="I7094" s="30">
        <v>7.6399999999999996E-2</v>
      </c>
      <c r="J7094" s="30">
        <v>4.1599999999999998E-2</v>
      </c>
      <c r="K7094" s="30">
        <v>0.10290000000000001</v>
      </c>
      <c r="L7094" s="30">
        <v>4.1599999999999998E-2</v>
      </c>
      <c r="N7094" s="30">
        <v>4.1599999999999998E-2</v>
      </c>
      <c r="P7094" s="30">
        <v>4.1599999999999998E-2</v>
      </c>
    </row>
    <row r="7095" spans="1:16" x14ac:dyDescent="0.25">
      <c r="A7095" t="s">
        <v>198</v>
      </c>
      <c r="B7095">
        <v>100</v>
      </c>
      <c r="C7095" t="s">
        <v>199</v>
      </c>
      <c r="D7095">
        <v>568</v>
      </c>
      <c r="E7095" s="1">
        <v>0.57430000000000003</v>
      </c>
      <c r="F7095" s="1">
        <v>5.7000000000000002E-3</v>
      </c>
      <c r="G7095" s="1">
        <v>4.4999999999999998E-2</v>
      </c>
      <c r="H7095" s="1">
        <v>1.7899999999999999E-2</v>
      </c>
      <c r="I7095" s="1">
        <v>1.4200000000000001E-2</v>
      </c>
      <c r="J7095" s="1">
        <v>4.1300000000000003E-2</v>
      </c>
      <c r="K7095" s="1">
        <v>0.1502</v>
      </c>
      <c r="L7095" s="1">
        <v>0.16830000000000001</v>
      </c>
      <c r="M7095" s="1">
        <v>1.1299999999999999E-2</v>
      </c>
      <c r="N7095" s="1">
        <v>1.61E-2</v>
      </c>
      <c r="O7095" s="1">
        <v>4.0000000000000001E-3</v>
      </c>
      <c r="P7095" s="1">
        <v>0.2505</v>
      </c>
    </row>
    <row r="7096" spans="1:16" x14ac:dyDescent="0.25">
      <c r="A7096" t="s">
        <v>198</v>
      </c>
      <c r="B7096">
        <v>97</v>
      </c>
      <c r="C7096" t="s">
        <v>200</v>
      </c>
      <c r="D7096">
        <v>568</v>
      </c>
      <c r="E7096" s="1">
        <v>0.6905</v>
      </c>
      <c r="F7096" s="1">
        <v>0.1129</v>
      </c>
      <c r="G7096" s="1">
        <v>2.0799999999999999E-2</v>
      </c>
      <c r="J7096" s="1">
        <v>7.0099999999999996E-2</v>
      </c>
      <c r="K7096" s="1">
        <v>4.4999999999999998E-2</v>
      </c>
      <c r="L7096" s="1">
        <v>3.4799999999999998E-2</v>
      </c>
      <c r="N7096" s="1">
        <v>4.7199999999999999E-2</v>
      </c>
      <c r="P7096" s="1">
        <v>8.7099999999999997E-2</v>
      </c>
    </row>
    <row r="7097" spans="1:16" x14ac:dyDescent="0.25">
      <c r="A7097" t="s">
        <v>198</v>
      </c>
      <c r="B7097">
        <v>68</v>
      </c>
      <c r="C7097" t="s">
        <v>201</v>
      </c>
      <c r="D7097">
        <v>568</v>
      </c>
      <c r="E7097" s="1">
        <v>0.60360000000000003</v>
      </c>
      <c r="F7097" s="1">
        <v>0.1018</v>
      </c>
      <c r="G7097" s="1">
        <v>2.9899999999999999E-2</v>
      </c>
      <c r="H7097" s="1">
        <v>3.5200000000000002E-2</v>
      </c>
      <c r="I7097" s="1">
        <v>1.18E-2</v>
      </c>
      <c r="J7097" s="1">
        <v>0.17130000000000001</v>
      </c>
      <c r="K7097" s="1">
        <v>7.8299999999999995E-2</v>
      </c>
      <c r="L7097" s="1">
        <v>9.5999999999999992E-3</v>
      </c>
      <c r="N7097" s="1">
        <v>3.44E-2</v>
      </c>
      <c r="P7097" s="1">
        <v>0.1361</v>
      </c>
    </row>
    <row r="7098" spans="1:16" s="29" customFormat="1" x14ac:dyDescent="0.25">
      <c r="A7098" s="29" t="s">
        <v>198</v>
      </c>
      <c r="B7098" s="29">
        <v>29</v>
      </c>
      <c r="C7098" s="29" t="s">
        <v>202</v>
      </c>
      <c r="D7098" s="29">
        <v>568</v>
      </c>
      <c r="E7098" s="30">
        <v>0.4572</v>
      </c>
      <c r="F7098" s="30">
        <v>4.5600000000000002E-2</v>
      </c>
      <c r="I7098" s="30">
        <v>2.3099999999999999E-2</v>
      </c>
      <c r="J7098" s="30">
        <v>0.12809999999999999</v>
      </c>
      <c r="K7098" s="30">
        <v>0.15759999999999999</v>
      </c>
      <c r="L7098" s="30">
        <v>5.2699999999999997E-2</v>
      </c>
      <c r="M7098" s="30">
        <v>0.1183</v>
      </c>
      <c r="N7098" s="30">
        <v>3.9399999999999998E-2</v>
      </c>
      <c r="P7098" s="30">
        <v>0.2203</v>
      </c>
    </row>
    <row r="7099" spans="1:16" x14ac:dyDescent="0.25">
      <c r="A7099" t="s">
        <v>203</v>
      </c>
      <c r="B7099">
        <v>106</v>
      </c>
      <c r="C7099" t="s">
        <v>199</v>
      </c>
      <c r="D7099">
        <v>568</v>
      </c>
      <c r="E7099" s="1">
        <v>0.70240000000000002</v>
      </c>
      <c r="F7099" s="1">
        <v>5.1499999999999997E-2</v>
      </c>
      <c r="G7099" s="1">
        <v>4.7500000000000001E-2</v>
      </c>
      <c r="H7099" s="1">
        <v>5.3E-3</v>
      </c>
      <c r="I7099" s="1">
        <v>1.72E-2</v>
      </c>
      <c r="J7099" s="1">
        <v>5.91E-2</v>
      </c>
      <c r="K7099" s="1">
        <v>4.9399999999999999E-2</v>
      </c>
      <c r="L7099" s="1">
        <v>8.6999999999999994E-2</v>
      </c>
      <c r="M7099" s="1">
        <v>2.0299999999999999E-2</v>
      </c>
      <c r="N7099" s="1">
        <v>5.33E-2</v>
      </c>
      <c r="P7099" s="1">
        <v>7.3599999999999999E-2</v>
      </c>
    </row>
    <row r="7100" spans="1:16" x14ac:dyDescent="0.25">
      <c r="A7100" t="s">
        <v>203</v>
      </c>
      <c r="B7100">
        <v>80</v>
      </c>
      <c r="C7100" t="s">
        <v>200</v>
      </c>
      <c r="D7100">
        <v>568</v>
      </c>
      <c r="E7100" s="1">
        <v>0.80620000000000003</v>
      </c>
      <c r="F7100" s="1">
        <v>4.0000000000000001E-3</v>
      </c>
      <c r="G7100" s="1">
        <v>4.0000000000000001E-3</v>
      </c>
      <c r="I7100" s="1">
        <v>5.0000000000000001E-4</v>
      </c>
      <c r="J7100" s="1">
        <v>9.7799999999999998E-2</v>
      </c>
      <c r="K7100" s="1">
        <v>8.7499999999999994E-2</v>
      </c>
      <c r="L7100" s="1">
        <v>0.14019999999999999</v>
      </c>
      <c r="M7100" s="1">
        <v>5.0000000000000001E-4</v>
      </c>
      <c r="O7100" s="1">
        <v>3.7000000000000002E-3</v>
      </c>
      <c r="P7100" s="1">
        <v>0.13880000000000001</v>
      </c>
    </row>
    <row r="7101" spans="1:16" x14ac:dyDescent="0.25">
      <c r="A7101" t="s">
        <v>203</v>
      </c>
      <c r="B7101">
        <v>51</v>
      </c>
      <c r="C7101" t="s">
        <v>201</v>
      </c>
      <c r="D7101">
        <v>568</v>
      </c>
      <c r="E7101" s="1">
        <v>0.69869999999999999</v>
      </c>
      <c r="G7101" s="1">
        <v>0.114</v>
      </c>
      <c r="H7101" s="1">
        <v>9.9599999999999994E-2</v>
      </c>
      <c r="J7101" s="1">
        <v>1.44E-2</v>
      </c>
      <c r="K7101" s="1">
        <v>0.1918</v>
      </c>
      <c r="L7101" s="1">
        <v>3.7699999999999997E-2</v>
      </c>
      <c r="M7101" s="1">
        <v>0.11650000000000001</v>
      </c>
      <c r="O7101" s="1">
        <v>1.9599999999999999E-2</v>
      </c>
      <c r="P7101" s="1">
        <v>7.8200000000000006E-2</v>
      </c>
    </row>
    <row r="7102" spans="1:16" s="29" customFormat="1" x14ac:dyDescent="0.25">
      <c r="A7102" s="29" t="s">
        <v>203</v>
      </c>
      <c r="B7102" s="29">
        <v>24</v>
      </c>
      <c r="C7102" s="29" t="s">
        <v>202</v>
      </c>
      <c r="D7102" s="29">
        <v>568</v>
      </c>
      <c r="E7102" s="30">
        <v>0.62260000000000004</v>
      </c>
      <c r="G7102" s="30">
        <v>2.3E-2</v>
      </c>
      <c r="I7102" s="30">
        <v>2.3E-2</v>
      </c>
      <c r="J7102" s="30">
        <v>0.2762</v>
      </c>
      <c r="L7102" s="30">
        <v>5.0599999999999999E-2</v>
      </c>
      <c r="M7102" s="30">
        <v>2.75E-2</v>
      </c>
      <c r="N7102" s="30">
        <v>8.5999999999999993E-2</v>
      </c>
      <c r="O7102" s="30">
        <v>2.3E-2</v>
      </c>
      <c r="P7102" s="30">
        <v>0.1321</v>
      </c>
    </row>
    <row r="7103" spans="1:16" x14ac:dyDescent="0.25">
      <c r="A7103" t="s">
        <v>204</v>
      </c>
      <c r="B7103">
        <v>568</v>
      </c>
      <c r="C7103" t="s">
        <v>204</v>
      </c>
      <c r="D7103">
        <v>568</v>
      </c>
      <c r="E7103" s="1">
        <v>0.64870000000000005</v>
      </c>
      <c r="F7103" s="1">
        <v>4.1099999999999998E-2</v>
      </c>
      <c r="G7103" s="1">
        <v>2.2700000000000001E-2</v>
      </c>
      <c r="H7103" s="1">
        <v>7.7999999999999996E-3</v>
      </c>
      <c r="I7103" s="1">
        <v>1.47E-2</v>
      </c>
      <c r="J7103" s="1">
        <v>9.3600000000000003E-2</v>
      </c>
      <c r="K7103" s="1">
        <v>9.6500000000000002E-2</v>
      </c>
      <c r="L7103" s="1">
        <v>8.5099999999999995E-2</v>
      </c>
      <c r="M7103" s="1">
        <v>2.93E-2</v>
      </c>
      <c r="N7103" s="1">
        <v>3.27E-2</v>
      </c>
      <c r="O7103" s="1">
        <v>2.8999999999999998E-3</v>
      </c>
      <c r="P7103" s="1">
        <v>0.14799999999999999</v>
      </c>
    </row>
    <row r="7105" spans="1:17" x14ac:dyDescent="0.25">
      <c r="A7105" t="s">
        <v>1329</v>
      </c>
    </row>
    <row r="7106" spans="1:17" x14ac:dyDescent="0.25">
      <c r="A7106" t="s">
        <v>190</v>
      </c>
      <c r="B7106" t="s">
        <v>206</v>
      </c>
      <c r="C7106" t="s">
        <v>195</v>
      </c>
      <c r="D7106" t="s">
        <v>189</v>
      </c>
      <c r="E7106" t="s">
        <v>196</v>
      </c>
      <c r="F7106" t="s">
        <v>271</v>
      </c>
      <c r="G7106" t="s">
        <v>235</v>
      </c>
      <c r="H7106" t="s">
        <v>1320</v>
      </c>
      <c r="I7106" t="s">
        <v>1321</v>
      </c>
      <c r="J7106" t="s">
        <v>1250</v>
      </c>
      <c r="K7106" t="s">
        <v>1322</v>
      </c>
      <c r="L7106" t="s">
        <v>1323</v>
      </c>
      <c r="M7106" t="s">
        <v>1324</v>
      </c>
      <c r="N7106" t="s">
        <v>1325</v>
      </c>
      <c r="O7106" t="s">
        <v>1326</v>
      </c>
      <c r="P7106" t="s">
        <v>1327</v>
      </c>
      <c r="Q7106" t="s">
        <v>1328</v>
      </c>
    </row>
    <row r="7107" spans="1:17" s="29" customFormat="1" x14ac:dyDescent="0.25">
      <c r="A7107" s="29" t="s">
        <v>198</v>
      </c>
      <c r="B7107" s="29" t="s">
        <v>228</v>
      </c>
      <c r="C7107" s="29">
        <v>4</v>
      </c>
      <c r="D7107" s="29" t="s">
        <v>197</v>
      </c>
      <c r="E7107" s="29">
        <v>568</v>
      </c>
      <c r="F7107" s="30">
        <v>1</v>
      </c>
    </row>
    <row r="7108" spans="1:17" s="29" customFormat="1" x14ac:dyDescent="0.25">
      <c r="A7108" s="29" t="s">
        <v>198</v>
      </c>
      <c r="B7108" s="29" t="s">
        <v>229</v>
      </c>
      <c r="C7108" s="29">
        <v>9</v>
      </c>
      <c r="D7108" s="29" t="s">
        <v>197</v>
      </c>
      <c r="E7108" s="29">
        <v>568</v>
      </c>
      <c r="F7108" s="30">
        <v>0.6502</v>
      </c>
      <c r="J7108" s="30">
        <v>0.121</v>
      </c>
      <c r="K7108" s="30">
        <v>6.59E-2</v>
      </c>
      <c r="L7108" s="30">
        <v>0.16300000000000001</v>
      </c>
      <c r="M7108" s="30">
        <v>6.59E-2</v>
      </c>
      <c r="O7108" s="30">
        <v>6.59E-2</v>
      </c>
      <c r="Q7108" s="30">
        <v>6.59E-2</v>
      </c>
    </row>
    <row r="7109" spans="1:17" x14ac:dyDescent="0.25">
      <c r="A7109" t="s">
        <v>198</v>
      </c>
      <c r="B7109" t="s">
        <v>228</v>
      </c>
      <c r="C7109">
        <v>32</v>
      </c>
      <c r="D7109" t="s">
        <v>199</v>
      </c>
      <c r="E7109">
        <v>568</v>
      </c>
      <c r="F7109" s="1">
        <v>0.6</v>
      </c>
      <c r="G7109" s="1">
        <v>3.04E-2</v>
      </c>
      <c r="H7109" s="1">
        <v>0.11600000000000001</v>
      </c>
      <c r="I7109" s="1">
        <v>0.113</v>
      </c>
      <c r="K7109" s="1">
        <v>5.8000000000000003E-2</v>
      </c>
      <c r="L7109" s="1">
        <v>5.8000000000000003E-2</v>
      </c>
      <c r="M7109" s="1">
        <v>9.5299999999999996E-2</v>
      </c>
      <c r="N7109" s="1">
        <v>6.8500000000000005E-2</v>
      </c>
      <c r="O7109" s="1">
        <v>0.1011</v>
      </c>
      <c r="P7109" s="1">
        <v>1.9699999999999999E-2</v>
      </c>
      <c r="Q7109" s="1">
        <v>0.2</v>
      </c>
    </row>
    <row r="7110" spans="1:17" x14ac:dyDescent="0.25">
      <c r="A7110" t="s">
        <v>198</v>
      </c>
      <c r="B7110" t="s">
        <v>229</v>
      </c>
      <c r="C7110">
        <v>64</v>
      </c>
      <c r="D7110" t="s">
        <v>199</v>
      </c>
      <c r="E7110">
        <v>568</v>
      </c>
      <c r="F7110" s="1">
        <v>0.56659999999999999</v>
      </c>
      <c r="G7110" s="1">
        <v>1.4E-3</v>
      </c>
      <c r="H7110" s="1">
        <v>3.3000000000000002E-2</v>
      </c>
      <c r="I7110" s="1">
        <v>1.2999999999999999E-3</v>
      </c>
      <c r="J7110" s="1">
        <v>1.6899999999999998E-2</v>
      </c>
      <c r="K7110" s="1">
        <v>3.8800000000000001E-2</v>
      </c>
      <c r="L7110" s="1">
        <v>0.16669999999999999</v>
      </c>
      <c r="M7110" s="1">
        <v>0.18160000000000001</v>
      </c>
      <c r="N7110" s="1">
        <v>1.2999999999999999E-3</v>
      </c>
      <c r="O7110" s="1">
        <v>1.2999999999999999E-3</v>
      </c>
      <c r="P7110" s="1">
        <v>1.2999999999999999E-3</v>
      </c>
      <c r="Q7110" s="1">
        <v>0.26069999999999999</v>
      </c>
    </row>
    <row r="7111" spans="1:17" x14ac:dyDescent="0.25">
      <c r="A7111" t="s">
        <v>198</v>
      </c>
      <c r="B7111" t="s">
        <v>229</v>
      </c>
      <c r="C7111">
        <v>73</v>
      </c>
      <c r="D7111" t="s">
        <v>200</v>
      </c>
      <c r="E7111">
        <v>568</v>
      </c>
      <c r="F7111" s="1">
        <v>0.64729999999999999</v>
      </c>
      <c r="G7111" s="1">
        <v>0.1424</v>
      </c>
      <c r="H7111" s="1">
        <v>2.63E-2</v>
      </c>
      <c r="K7111" s="1">
        <v>8.8400000000000006E-2</v>
      </c>
      <c r="L7111" s="1">
        <v>5.0299999999999997E-2</v>
      </c>
      <c r="M7111" s="1">
        <v>2.0500000000000001E-2</v>
      </c>
      <c r="O7111" s="1">
        <v>5.9499999999999997E-2</v>
      </c>
      <c r="Q7111" s="1">
        <v>0.1021</v>
      </c>
    </row>
    <row r="7112" spans="1:17" s="29" customFormat="1" x14ac:dyDescent="0.25">
      <c r="A7112" s="29" t="s">
        <v>198</v>
      </c>
      <c r="B7112" s="29" t="s">
        <v>228</v>
      </c>
      <c r="C7112" s="29">
        <v>24</v>
      </c>
      <c r="D7112" s="29" t="s">
        <v>200</v>
      </c>
      <c r="E7112" s="29">
        <v>568</v>
      </c>
      <c r="F7112" s="30">
        <v>0.85609999999999997</v>
      </c>
      <c r="L7112" s="30">
        <v>2.46E-2</v>
      </c>
      <c r="M7112" s="30">
        <v>8.9700000000000002E-2</v>
      </c>
      <c r="Q7112" s="30">
        <v>2.9600000000000001E-2</v>
      </c>
    </row>
    <row r="7113" spans="1:17" s="29" customFormat="1" x14ac:dyDescent="0.25">
      <c r="A7113" s="29" t="s">
        <v>198</v>
      </c>
      <c r="B7113" s="29" t="s">
        <v>228</v>
      </c>
      <c r="C7113" s="29">
        <v>21</v>
      </c>
      <c r="D7113" s="29" t="s">
        <v>201</v>
      </c>
      <c r="E7113" s="29">
        <v>568</v>
      </c>
      <c r="F7113" s="30">
        <v>0.41170000000000001</v>
      </c>
      <c r="G7113" s="30">
        <v>0.20649999999999999</v>
      </c>
      <c r="M7113" s="30">
        <v>2.4299999999999999E-2</v>
      </c>
      <c r="O7113" s="30">
        <v>2.4299999999999999E-2</v>
      </c>
      <c r="Q7113" s="30">
        <v>0.36609999999999998</v>
      </c>
    </row>
    <row r="7114" spans="1:17" x14ac:dyDescent="0.25">
      <c r="A7114" t="s">
        <v>198</v>
      </c>
      <c r="B7114" t="s">
        <v>229</v>
      </c>
      <c r="C7114">
        <v>46</v>
      </c>
      <c r="D7114" t="s">
        <v>201</v>
      </c>
      <c r="E7114">
        <v>568</v>
      </c>
      <c r="F7114" s="1">
        <v>0.62709999999999999</v>
      </c>
      <c r="G7114" s="1">
        <v>8.6999999999999994E-2</v>
      </c>
      <c r="H7114" s="1">
        <v>3.5200000000000002E-2</v>
      </c>
      <c r="I7114" s="1">
        <v>4.1399999999999999E-2</v>
      </c>
      <c r="J7114" s="1">
        <v>1.38E-2</v>
      </c>
      <c r="K7114" s="1">
        <v>0.2016</v>
      </c>
      <c r="L7114" s="1">
        <v>9.2100000000000001E-2</v>
      </c>
      <c r="M7114" s="1">
        <v>7.4999999999999997E-3</v>
      </c>
      <c r="O7114" s="1">
        <v>3.6600000000000001E-2</v>
      </c>
      <c r="Q7114" s="1">
        <v>0.10199999999999999</v>
      </c>
    </row>
    <row r="7115" spans="1:17" s="29" customFormat="1" x14ac:dyDescent="0.25">
      <c r="A7115" s="29" t="s">
        <v>198</v>
      </c>
      <c r="B7115" s="29" t="s">
        <v>229</v>
      </c>
      <c r="C7115" s="29">
        <v>18</v>
      </c>
      <c r="D7115" s="29" t="s">
        <v>202</v>
      </c>
      <c r="E7115" s="29">
        <v>568</v>
      </c>
      <c r="F7115" s="30">
        <v>0.48630000000000001</v>
      </c>
      <c r="G7115" s="30">
        <v>6.7699999999999996E-2</v>
      </c>
      <c r="J7115" s="30">
        <v>3.44E-2</v>
      </c>
      <c r="K7115" s="30">
        <v>8.9700000000000002E-2</v>
      </c>
      <c r="L7115" s="30">
        <v>5.8500000000000003E-2</v>
      </c>
      <c r="M7115" s="30">
        <v>2.9000000000000001E-2</v>
      </c>
      <c r="N7115" s="30">
        <v>0.12039999999999999</v>
      </c>
      <c r="Q7115" s="30">
        <v>0.2359</v>
      </c>
    </row>
    <row r="7116" spans="1:17" s="29" customFormat="1" x14ac:dyDescent="0.25">
      <c r="A7116" s="29" t="s">
        <v>198</v>
      </c>
      <c r="B7116" s="29" t="s">
        <v>228</v>
      </c>
      <c r="C7116" s="29">
        <v>11</v>
      </c>
      <c r="D7116" s="29" t="s">
        <v>202</v>
      </c>
      <c r="E7116" s="29">
        <v>568</v>
      </c>
      <c r="F7116" s="30">
        <v>0.39729999999999999</v>
      </c>
      <c r="K7116" s="30">
        <v>0.20710000000000001</v>
      </c>
      <c r="L7116" s="30">
        <v>0.36170000000000002</v>
      </c>
      <c r="M7116" s="30">
        <v>0.1016</v>
      </c>
      <c r="N7116" s="30">
        <v>0.1139</v>
      </c>
      <c r="O7116" s="30">
        <v>0.12039999999999999</v>
      </c>
      <c r="Q7116" s="30">
        <v>0.18820000000000001</v>
      </c>
    </row>
    <row r="7117" spans="1:17" s="29" customFormat="1" x14ac:dyDescent="0.25">
      <c r="A7117" s="29" t="s">
        <v>203</v>
      </c>
      <c r="B7117" s="29" t="s">
        <v>228</v>
      </c>
      <c r="C7117" s="29">
        <v>28</v>
      </c>
      <c r="D7117" s="29" t="s">
        <v>199</v>
      </c>
      <c r="E7117" s="29">
        <v>568</v>
      </c>
      <c r="F7117" s="30">
        <v>0.45900000000000002</v>
      </c>
      <c r="G7117" s="30">
        <v>1.6400000000000001E-2</v>
      </c>
      <c r="J7117" s="30">
        <v>7.7700000000000005E-2</v>
      </c>
      <c r="K7117" s="30">
        <v>0.216</v>
      </c>
      <c r="L7117" s="30">
        <v>6.3899999999999998E-2</v>
      </c>
      <c r="M7117" s="30">
        <v>0.25290000000000001</v>
      </c>
      <c r="O7117" s="30">
        <v>8.2000000000000007E-3</v>
      </c>
      <c r="Q7117" s="30">
        <v>8.2000000000000007E-3</v>
      </c>
    </row>
    <row r="7118" spans="1:17" x14ac:dyDescent="0.25">
      <c r="A7118" t="s">
        <v>203</v>
      </c>
      <c r="B7118" t="s">
        <v>229</v>
      </c>
      <c r="C7118">
        <v>75</v>
      </c>
      <c r="D7118" t="s">
        <v>199</v>
      </c>
      <c r="E7118">
        <v>568</v>
      </c>
      <c r="F7118" s="1">
        <v>0.71589999999999998</v>
      </c>
      <c r="G7118" s="1">
        <v>5.3800000000000001E-2</v>
      </c>
      <c r="H7118" s="1">
        <v>5.04E-2</v>
      </c>
      <c r="I7118" s="1">
        <v>5.7000000000000002E-3</v>
      </c>
      <c r="J7118" s="1">
        <v>1.37E-2</v>
      </c>
      <c r="K7118" s="1">
        <v>5.0099999999999999E-2</v>
      </c>
      <c r="L7118" s="1">
        <v>4.8800000000000003E-2</v>
      </c>
      <c r="M7118" s="1">
        <v>7.7200000000000005E-2</v>
      </c>
      <c r="N7118" s="1">
        <v>2.1600000000000001E-2</v>
      </c>
      <c r="O7118" s="1">
        <v>5.6099999999999997E-2</v>
      </c>
      <c r="Q7118" s="1">
        <v>7.7799999999999994E-2</v>
      </c>
    </row>
    <row r="7119" spans="1:17" x14ac:dyDescent="0.25">
      <c r="A7119" t="s">
        <v>203</v>
      </c>
      <c r="B7119" t="s">
        <v>229</v>
      </c>
      <c r="C7119">
        <v>52</v>
      </c>
      <c r="D7119" t="s">
        <v>200</v>
      </c>
      <c r="E7119">
        <v>568</v>
      </c>
      <c r="F7119" s="1">
        <v>0.83540000000000003</v>
      </c>
      <c r="G7119" s="1">
        <v>5.1000000000000004E-3</v>
      </c>
      <c r="H7119" s="1">
        <v>5.0000000000000001E-3</v>
      </c>
      <c r="J7119" s="1">
        <v>5.9999999999999995E-4</v>
      </c>
      <c r="K7119" s="1">
        <v>0.104</v>
      </c>
      <c r="L7119" s="1">
        <v>9.4299999999999995E-2</v>
      </c>
      <c r="M7119" s="1">
        <v>0.12280000000000001</v>
      </c>
      <c r="N7119" s="1">
        <v>5.9999999999999995E-4</v>
      </c>
      <c r="P7119" s="1">
        <v>5.9999999999999995E-4</v>
      </c>
      <c r="Q7119" s="1">
        <v>0.12790000000000001</v>
      </c>
    </row>
    <row r="7120" spans="1:17" s="29" customFormat="1" x14ac:dyDescent="0.25">
      <c r="A7120" s="29" t="s">
        <v>203</v>
      </c>
      <c r="B7120" s="29" t="s">
        <v>228</v>
      </c>
      <c r="C7120" s="29">
        <v>27</v>
      </c>
      <c r="D7120" s="29" t="s">
        <v>200</v>
      </c>
      <c r="E7120" s="29">
        <v>568</v>
      </c>
      <c r="F7120" s="30">
        <v>0.69699999999999995</v>
      </c>
      <c r="K7120" s="30">
        <v>7.51E-2</v>
      </c>
      <c r="L7120" s="30">
        <v>6.2799999999999995E-2</v>
      </c>
      <c r="M7120" s="30">
        <v>0.2051</v>
      </c>
      <c r="P7120" s="30">
        <v>1.4999999999999999E-2</v>
      </c>
      <c r="Q7120" s="30">
        <v>0.18010000000000001</v>
      </c>
    </row>
    <row r="7121" spans="1:20" x14ac:dyDescent="0.25">
      <c r="A7121" t="s">
        <v>203</v>
      </c>
      <c r="B7121" t="s">
        <v>228</v>
      </c>
      <c r="C7121">
        <v>30</v>
      </c>
      <c r="D7121" t="s">
        <v>201</v>
      </c>
      <c r="E7121">
        <v>568</v>
      </c>
      <c r="F7121" s="1">
        <v>0.47620000000000001</v>
      </c>
      <c r="H7121" s="1">
        <v>0.27589999999999998</v>
      </c>
      <c r="I7121" s="1">
        <v>0.27589999999999998</v>
      </c>
      <c r="L7121" s="1">
        <v>0.40489999999999998</v>
      </c>
      <c r="N7121" s="1">
        <v>0.27589999999999998</v>
      </c>
      <c r="P7121" s="1">
        <v>5.4399999999999997E-2</v>
      </c>
      <c r="Q7121" s="1">
        <v>0.13669999999999999</v>
      </c>
    </row>
    <row r="7122" spans="1:20" s="29" customFormat="1" x14ac:dyDescent="0.25">
      <c r="A7122" s="29" t="s">
        <v>203</v>
      </c>
      <c r="B7122" s="29" t="s">
        <v>229</v>
      </c>
      <c r="C7122" s="29">
        <v>19</v>
      </c>
      <c r="D7122" s="29" t="s">
        <v>201</v>
      </c>
      <c r="E7122" s="29">
        <v>568</v>
      </c>
      <c r="F7122" s="30">
        <v>0.82689999999999997</v>
      </c>
      <c r="H7122" s="30">
        <v>2.2700000000000001E-2</v>
      </c>
      <c r="K7122" s="30">
        <v>2.2700000000000001E-2</v>
      </c>
      <c r="L7122" s="30">
        <v>6.8199999999999997E-2</v>
      </c>
      <c r="M7122" s="30">
        <v>5.9499999999999997E-2</v>
      </c>
      <c r="N7122" s="30">
        <v>2.2700000000000001E-2</v>
      </c>
      <c r="Q7122" s="30">
        <v>4.5499999999999999E-2</v>
      </c>
    </row>
    <row r="7123" spans="1:20" s="29" customFormat="1" x14ac:dyDescent="0.25">
      <c r="A7123" s="29" t="s">
        <v>203</v>
      </c>
      <c r="B7123" s="29" t="s">
        <v>228</v>
      </c>
      <c r="C7123" s="29">
        <v>8</v>
      </c>
      <c r="D7123" s="29" t="s">
        <v>202</v>
      </c>
      <c r="E7123" s="29">
        <v>568</v>
      </c>
      <c r="F7123" s="30">
        <v>0.64980000000000004</v>
      </c>
      <c r="K7123" s="30">
        <v>0.35020000000000001</v>
      </c>
      <c r="P7123" s="30">
        <v>9.9299999999999999E-2</v>
      </c>
    </row>
    <row r="7124" spans="1:20" s="29" customFormat="1" x14ac:dyDescent="0.25">
      <c r="A7124" s="29" t="s">
        <v>203</v>
      </c>
      <c r="B7124" s="29" t="s">
        <v>229</v>
      </c>
      <c r="C7124" s="29">
        <v>16</v>
      </c>
      <c r="D7124" s="29" t="s">
        <v>202</v>
      </c>
      <c r="E7124" s="29">
        <v>568</v>
      </c>
      <c r="F7124" s="30">
        <v>0.61439999999999995</v>
      </c>
      <c r="H7124" s="30">
        <v>0.03</v>
      </c>
      <c r="J7124" s="30">
        <v>0.03</v>
      </c>
      <c r="K7124" s="30">
        <v>0.25390000000000001</v>
      </c>
      <c r="M7124" s="30">
        <v>6.59E-2</v>
      </c>
      <c r="N7124" s="30">
        <v>3.5900000000000001E-2</v>
      </c>
      <c r="O7124" s="30">
        <v>0.112</v>
      </c>
      <c r="Q7124" s="30">
        <v>0.1719</v>
      </c>
    </row>
    <row r="7125" spans="1:20" x14ac:dyDescent="0.25">
      <c r="A7125" t="s">
        <v>204</v>
      </c>
      <c r="B7125" t="s">
        <v>204</v>
      </c>
      <c r="C7125">
        <v>568</v>
      </c>
      <c r="D7125" t="s">
        <v>204</v>
      </c>
      <c r="E7125">
        <v>568</v>
      </c>
      <c r="F7125" s="1">
        <v>0.64870000000000005</v>
      </c>
      <c r="G7125" s="1">
        <v>4.1099999999999998E-2</v>
      </c>
      <c r="H7125" s="1">
        <v>2.2700000000000001E-2</v>
      </c>
      <c r="I7125" s="1">
        <v>7.7999999999999996E-3</v>
      </c>
      <c r="J7125" s="1">
        <v>1.47E-2</v>
      </c>
      <c r="K7125" s="1">
        <v>9.3600000000000003E-2</v>
      </c>
      <c r="L7125" s="1">
        <v>9.6500000000000002E-2</v>
      </c>
      <c r="M7125" s="1">
        <v>8.5099999999999995E-2</v>
      </c>
      <c r="N7125" s="1">
        <v>2.93E-2</v>
      </c>
      <c r="O7125" s="1">
        <v>3.27E-2</v>
      </c>
      <c r="P7125" s="1">
        <v>2.8999999999999998E-3</v>
      </c>
      <c r="Q7125" s="1">
        <v>0.14799999999999999</v>
      </c>
    </row>
    <row r="7127" spans="1:20" x14ac:dyDescent="0.25">
      <c r="A7127" t="s">
        <v>1330</v>
      </c>
    </row>
    <row r="7128" spans="1:20" x14ac:dyDescent="0.25">
      <c r="A7128" t="s">
        <v>190</v>
      </c>
      <c r="B7128" t="s">
        <v>195</v>
      </c>
      <c r="C7128" t="s">
        <v>189</v>
      </c>
      <c r="D7128" t="s">
        <v>196</v>
      </c>
      <c r="E7128" t="s">
        <v>1331</v>
      </c>
      <c r="F7128" t="s">
        <v>220</v>
      </c>
      <c r="G7128" t="s">
        <v>1332</v>
      </c>
      <c r="H7128" t="s">
        <v>1333</v>
      </c>
      <c r="I7128" t="s">
        <v>1334</v>
      </c>
      <c r="J7128" t="s">
        <v>1335</v>
      </c>
      <c r="K7128" t="s">
        <v>271</v>
      </c>
      <c r="L7128" t="s">
        <v>235</v>
      </c>
      <c r="M7128" t="s">
        <v>444</v>
      </c>
      <c r="N7128" t="s">
        <v>1336</v>
      </c>
      <c r="O7128" t="s">
        <v>1337</v>
      </c>
      <c r="P7128" t="s">
        <v>1338</v>
      </c>
      <c r="Q7128" t="s">
        <v>1339</v>
      </c>
      <c r="R7128" t="s">
        <v>1340</v>
      </c>
      <c r="S7128" t="s">
        <v>1341</v>
      </c>
      <c r="T7128" t="s">
        <v>1342</v>
      </c>
    </row>
    <row r="7129" spans="1:20" x14ac:dyDescent="0.25">
      <c r="A7129" t="s">
        <v>198</v>
      </c>
      <c r="B7129">
        <v>82</v>
      </c>
      <c r="C7129" t="s">
        <v>197</v>
      </c>
      <c r="D7129">
        <v>2623</v>
      </c>
      <c r="E7129" s="1">
        <v>1.4999999999999999E-2</v>
      </c>
      <c r="F7129" s="1">
        <v>0.43719999999999998</v>
      </c>
      <c r="G7129" s="1">
        <v>5.5800000000000002E-2</v>
      </c>
      <c r="H7129" s="1">
        <v>0.18260000000000001</v>
      </c>
      <c r="I7129" s="1">
        <v>0.1106</v>
      </c>
      <c r="J7129" s="1">
        <v>7.9100000000000004E-2</v>
      </c>
      <c r="K7129" s="1">
        <v>0.249</v>
      </c>
      <c r="N7129" s="1">
        <v>0.19539999999999999</v>
      </c>
      <c r="O7129" s="1">
        <v>6.4899999999999999E-2</v>
      </c>
      <c r="P7129" s="1">
        <v>5.0799999999999998E-2</v>
      </c>
      <c r="Q7129" s="1">
        <v>1.4999999999999999E-2</v>
      </c>
      <c r="R7129" s="1">
        <v>7.4999999999999997E-3</v>
      </c>
      <c r="S7129" s="1">
        <v>4.2000000000000003E-2</v>
      </c>
      <c r="T7129" s="1">
        <v>2.12E-2</v>
      </c>
    </row>
    <row r="7130" spans="1:20" x14ac:dyDescent="0.25">
      <c r="A7130" t="s">
        <v>198</v>
      </c>
      <c r="B7130">
        <v>368</v>
      </c>
      <c r="C7130" t="s">
        <v>199</v>
      </c>
      <c r="D7130">
        <v>2623</v>
      </c>
      <c r="E7130" s="1">
        <v>9.7000000000000003E-3</v>
      </c>
      <c r="F7130" s="1">
        <v>0.28389999999999999</v>
      </c>
      <c r="G7130" s="1">
        <v>0.2009</v>
      </c>
      <c r="H7130" s="1">
        <v>0.40760000000000002</v>
      </c>
      <c r="I7130" s="1">
        <v>0.2079</v>
      </c>
      <c r="J7130" s="1">
        <v>8.5300000000000001E-2</v>
      </c>
      <c r="K7130" s="1">
        <v>0.1497</v>
      </c>
      <c r="N7130" s="1">
        <v>0.30969999999999998</v>
      </c>
      <c r="O7130" s="1">
        <v>0.19089999999999999</v>
      </c>
      <c r="P7130" s="1">
        <v>0.22359999999999999</v>
      </c>
      <c r="Q7130" s="1">
        <v>0.14360000000000001</v>
      </c>
      <c r="R7130" s="1">
        <v>2.35E-2</v>
      </c>
      <c r="S7130" s="1">
        <v>1.14E-2</v>
      </c>
      <c r="T7130" s="1">
        <v>0.12759999999999999</v>
      </c>
    </row>
    <row r="7131" spans="1:20" x14ac:dyDescent="0.25">
      <c r="A7131" t="s">
        <v>198</v>
      </c>
      <c r="B7131">
        <v>384</v>
      </c>
      <c r="C7131" t="s">
        <v>200</v>
      </c>
      <c r="D7131">
        <v>2623</v>
      </c>
      <c r="E7131" s="1">
        <v>5.33E-2</v>
      </c>
      <c r="F7131" s="1">
        <v>0.46210000000000001</v>
      </c>
      <c r="G7131" s="1">
        <v>0.13719999999999999</v>
      </c>
      <c r="H7131" s="1">
        <v>0.27050000000000002</v>
      </c>
      <c r="I7131" s="1">
        <v>0.14549999999999999</v>
      </c>
      <c r="J7131" s="1">
        <v>8.2100000000000006E-2</v>
      </c>
      <c r="K7131" s="1">
        <v>0.13170000000000001</v>
      </c>
      <c r="N7131" s="1">
        <v>0.222</v>
      </c>
      <c r="O7131" s="1">
        <v>0.1711</v>
      </c>
      <c r="P7131" s="1">
        <v>0.16339999999999999</v>
      </c>
      <c r="Q7131" s="1">
        <v>3.9600000000000003E-2</v>
      </c>
      <c r="R7131" s="1">
        <v>4.58E-2</v>
      </c>
      <c r="S7131" s="1">
        <v>5.4399999999999997E-2</v>
      </c>
      <c r="T7131" s="1">
        <v>8.7800000000000003E-2</v>
      </c>
    </row>
    <row r="7132" spans="1:20" x14ac:dyDescent="0.25">
      <c r="A7132" t="s">
        <v>198</v>
      </c>
      <c r="B7132">
        <v>255</v>
      </c>
      <c r="C7132" t="s">
        <v>201</v>
      </c>
      <c r="D7132">
        <v>2623</v>
      </c>
      <c r="E7132" s="1">
        <v>2.1899999999999999E-2</v>
      </c>
      <c r="F7132" s="1">
        <v>0.49469999999999997</v>
      </c>
      <c r="G7132" s="1">
        <v>4.7800000000000002E-2</v>
      </c>
      <c r="H7132" s="1">
        <v>0.17330000000000001</v>
      </c>
      <c r="I7132" s="1">
        <v>0.1085</v>
      </c>
      <c r="J7132" s="1">
        <v>5.4100000000000002E-2</v>
      </c>
      <c r="K7132" s="1">
        <v>0.13689999999999999</v>
      </c>
      <c r="N7132" s="1">
        <v>0.2545</v>
      </c>
      <c r="O7132" s="1">
        <v>0.1105</v>
      </c>
      <c r="P7132" s="1">
        <v>0.12230000000000001</v>
      </c>
      <c r="Q7132" s="1">
        <v>5.3199999999999997E-2</v>
      </c>
      <c r="R7132" s="1">
        <v>1.7100000000000001E-2</v>
      </c>
      <c r="S7132" s="1">
        <v>2.1299999999999999E-2</v>
      </c>
      <c r="T7132" s="1">
        <v>7.0199999999999999E-2</v>
      </c>
    </row>
    <row r="7133" spans="1:20" x14ac:dyDescent="0.25">
      <c r="A7133" t="s">
        <v>198</v>
      </c>
      <c r="B7133">
        <v>95</v>
      </c>
      <c r="C7133" t="s">
        <v>202</v>
      </c>
      <c r="D7133">
        <v>2623</v>
      </c>
      <c r="E7133" s="1">
        <v>2.92E-2</v>
      </c>
      <c r="F7133" s="1">
        <v>0.33279999999999998</v>
      </c>
      <c r="G7133" s="1">
        <v>9.3600000000000003E-2</v>
      </c>
      <c r="H7133" s="1">
        <v>0.2263</v>
      </c>
      <c r="I7133" s="1">
        <v>0.18790000000000001</v>
      </c>
      <c r="J7133" s="1">
        <v>5.9299999999999999E-2</v>
      </c>
      <c r="K7133" s="1">
        <v>0.14380000000000001</v>
      </c>
      <c r="L7133" s="1">
        <v>9.5999999999999992E-3</v>
      </c>
      <c r="N7133" s="1">
        <v>0.33029999999999998</v>
      </c>
      <c r="O7133" s="1">
        <v>0.1789</v>
      </c>
      <c r="P7133" s="1">
        <v>9.8000000000000004E-2</v>
      </c>
      <c r="Q7133" s="1">
        <v>6.4299999999999996E-2</v>
      </c>
      <c r="R7133" s="1">
        <v>3.4299999999999997E-2</v>
      </c>
      <c r="S7133" s="1">
        <v>2.92E-2</v>
      </c>
      <c r="T7133" s="1">
        <v>4.5499999999999999E-2</v>
      </c>
    </row>
    <row r="7134" spans="1:20" x14ac:dyDescent="0.25">
      <c r="A7134" t="s">
        <v>203</v>
      </c>
      <c r="B7134">
        <v>530</v>
      </c>
      <c r="C7134" t="s">
        <v>199</v>
      </c>
      <c r="D7134">
        <v>2623</v>
      </c>
      <c r="E7134" s="1">
        <v>2.35E-2</v>
      </c>
      <c r="F7134" s="1">
        <v>0.29360000000000003</v>
      </c>
      <c r="G7134" s="1">
        <v>0.1024</v>
      </c>
      <c r="H7134" s="1">
        <v>0.46850000000000003</v>
      </c>
      <c r="I7134" s="1">
        <v>0.18479999999999999</v>
      </c>
      <c r="J7134" s="1">
        <v>6.6199999999999995E-2</v>
      </c>
      <c r="K7134" s="1">
        <v>0.104</v>
      </c>
      <c r="M7134" s="1">
        <v>1.1000000000000001E-3</v>
      </c>
      <c r="N7134" s="1">
        <v>0.374</v>
      </c>
      <c r="O7134" s="1">
        <v>0.1295</v>
      </c>
      <c r="P7134" s="1">
        <v>0.22689999999999999</v>
      </c>
      <c r="Q7134" s="1">
        <v>5.57E-2</v>
      </c>
      <c r="R7134" s="1">
        <v>1.43E-2</v>
      </c>
      <c r="S7134" s="1">
        <v>1.9599999999999999E-2</v>
      </c>
      <c r="T7134" s="1">
        <v>6.3399999999999998E-2</v>
      </c>
    </row>
    <row r="7135" spans="1:20" x14ac:dyDescent="0.25">
      <c r="A7135" t="s">
        <v>203</v>
      </c>
      <c r="B7135">
        <v>501</v>
      </c>
      <c r="C7135" t="s">
        <v>200</v>
      </c>
      <c r="D7135">
        <v>2623</v>
      </c>
      <c r="E7135" s="1">
        <v>0.27039999999999997</v>
      </c>
      <c r="F7135" s="1">
        <v>0.15620000000000001</v>
      </c>
      <c r="G7135" s="1">
        <v>0.41670000000000001</v>
      </c>
      <c r="H7135" s="1">
        <v>0.66349999999999998</v>
      </c>
      <c r="I7135" s="1">
        <v>0.44390000000000002</v>
      </c>
      <c r="J7135" s="1">
        <v>0.33939999999999998</v>
      </c>
      <c r="K7135" s="1">
        <v>7.0599999999999996E-2</v>
      </c>
      <c r="M7135" s="1">
        <v>3.0000000000000001E-3</v>
      </c>
      <c r="N7135" s="1">
        <v>0.43769999999999998</v>
      </c>
      <c r="O7135" s="1">
        <v>0.41789999999999999</v>
      </c>
      <c r="P7135" s="1">
        <v>0.53200000000000003</v>
      </c>
      <c r="Q7135" s="1">
        <v>0.28570000000000001</v>
      </c>
      <c r="R7135" s="1">
        <v>0.17760000000000001</v>
      </c>
      <c r="S7135" s="1">
        <v>0.27429999999999999</v>
      </c>
      <c r="T7135" s="1">
        <v>0.31790000000000002</v>
      </c>
    </row>
    <row r="7136" spans="1:20" x14ac:dyDescent="0.25">
      <c r="A7136" t="s">
        <v>203</v>
      </c>
      <c r="B7136">
        <v>318</v>
      </c>
      <c r="C7136" t="s">
        <v>201</v>
      </c>
      <c r="D7136">
        <v>2623</v>
      </c>
      <c r="E7136" s="1">
        <v>1.1599999999999999E-2</v>
      </c>
      <c r="F7136" s="1">
        <v>0.35610000000000003</v>
      </c>
      <c r="G7136" s="1">
        <v>4.0899999999999999E-2</v>
      </c>
      <c r="H7136" s="1">
        <v>0.34039999999999998</v>
      </c>
      <c r="I7136" s="1">
        <v>2.3800000000000002E-2</v>
      </c>
      <c r="J7136" s="1">
        <v>6.3899999999999998E-2</v>
      </c>
      <c r="K7136" s="1">
        <v>0.20910000000000001</v>
      </c>
      <c r="N7136" s="1">
        <v>0.1176</v>
      </c>
      <c r="O7136" s="1">
        <v>0.1346</v>
      </c>
      <c r="P7136" s="1">
        <v>0.1966</v>
      </c>
      <c r="Q7136" s="1">
        <v>3.15E-2</v>
      </c>
      <c r="R7136" s="1">
        <v>3.8100000000000002E-2</v>
      </c>
      <c r="S7136" s="1">
        <v>1.04E-2</v>
      </c>
      <c r="T7136" s="1">
        <v>6.0299999999999999E-2</v>
      </c>
    </row>
    <row r="7137" spans="1:21" x14ac:dyDescent="0.25">
      <c r="A7137" t="s">
        <v>203</v>
      </c>
      <c r="B7137">
        <v>90</v>
      </c>
      <c r="C7137" t="s">
        <v>202</v>
      </c>
      <c r="D7137">
        <v>2623</v>
      </c>
      <c r="E7137" s="1">
        <v>8.8000000000000005E-3</v>
      </c>
      <c r="F7137" s="1">
        <v>0.23380000000000001</v>
      </c>
      <c r="G7137" s="1">
        <v>0.2051</v>
      </c>
      <c r="H7137" s="1">
        <v>0.4486</v>
      </c>
      <c r="I7137" s="1">
        <v>0.27600000000000002</v>
      </c>
      <c r="J7137" s="1">
        <v>0.20150000000000001</v>
      </c>
      <c r="K7137" s="1">
        <v>0.1386</v>
      </c>
      <c r="N7137" s="1">
        <v>0.29010000000000002</v>
      </c>
      <c r="O7137" s="1">
        <v>0.34620000000000001</v>
      </c>
      <c r="P7137" s="1">
        <v>0.29759999999999998</v>
      </c>
      <c r="Q7137" s="1">
        <v>2.63E-2</v>
      </c>
      <c r="R7137" s="1">
        <v>8.1199999999999994E-2</v>
      </c>
      <c r="S7137" s="1">
        <v>9.0899999999999995E-2</v>
      </c>
      <c r="T7137" s="1">
        <v>0.1169</v>
      </c>
    </row>
    <row r="7138" spans="1:21" x14ac:dyDescent="0.25">
      <c r="A7138" t="s">
        <v>204</v>
      </c>
      <c r="B7138">
        <v>2623</v>
      </c>
      <c r="C7138" t="s">
        <v>204</v>
      </c>
      <c r="D7138">
        <v>2623</v>
      </c>
      <c r="E7138" s="1">
        <v>9.9400000000000002E-2</v>
      </c>
      <c r="F7138" s="1">
        <v>0.29430000000000001</v>
      </c>
      <c r="G7138" s="1">
        <v>0.2107</v>
      </c>
      <c r="H7138" s="1">
        <v>0.43230000000000002</v>
      </c>
      <c r="I7138" s="1">
        <v>0.24970000000000001</v>
      </c>
      <c r="J7138" s="1">
        <v>0.16039999999999999</v>
      </c>
      <c r="K7138" s="1">
        <v>0.12529999999999999</v>
      </c>
      <c r="L7138" s="1">
        <v>8.9999999999999998E-4</v>
      </c>
      <c r="M7138" s="1">
        <v>1.1000000000000001E-3</v>
      </c>
      <c r="N7138" s="1">
        <v>0.32679999999999998</v>
      </c>
      <c r="O7138" s="1">
        <v>0.2414</v>
      </c>
      <c r="P7138" s="1">
        <v>0.28510000000000002</v>
      </c>
      <c r="Q7138" s="1">
        <v>0.1303</v>
      </c>
      <c r="R7138" s="1">
        <v>7.5499999999999998E-2</v>
      </c>
      <c r="S7138" s="1">
        <v>0.10630000000000001</v>
      </c>
      <c r="T7138" s="1">
        <v>0.1507</v>
      </c>
    </row>
    <row r="7140" spans="1:21" x14ac:dyDescent="0.25">
      <c r="A7140" t="s">
        <v>1343</v>
      </c>
    </row>
    <row r="7141" spans="1:21" x14ac:dyDescent="0.25">
      <c r="A7141" t="s">
        <v>190</v>
      </c>
      <c r="B7141" t="s">
        <v>206</v>
      </c>
      <c r="C7141" t="s">
        <v>195</v>
      </c>
      <c r="D7141" t="s">
        <v>189</v>
      </c>
      <c r="E7141" t="s">
        <v>196</v>
      </c>
      <c r="F7141" t="s">
        <v>1331</v>
      </c>
      <c r="G7141" t="s">
        <v>220</v>
      </c>
      <c r="H7141" t="s">
        <v>1332</v>
      </c>
      <c r="I7141" t="s">
        <v>1333</v>
      </c>
      <c r="J7141" t="s">
        <v>1334</v>
      </c>
      <c r="K7141" t="s">
        <v>1335</v>
      </c>
      <c r="L7141" t="s">
        <v>271</v>
      </c>
      <c r="M7141" t="s">
        <v>235</v>
      </c>
      <c r="N7141" t="s">
        <v>444</v>
      </c>
      <c r="O7141" t="s">
        <v>1336</v>
      </c>
      <c r="P7141" t="s">
        <v>1337</v>
      </c>
      <c r="Q7141" t="s">
        <v>1338</v>
      </c>
      <c r="R7141" t="s">
        <v>1339</v>
      </c>
      <c r="S7141" t="s">
        <v>1340</v>
      </c>
      <c r="T7141" t="s">
        <v>1341</v>
      </c>
      <c r="U7141" t="s">
        <v>1342</v>
      </c>
    </row>
    <row r="7142" spans="1:21" x14ac:dyDescent="0.25">
      <c r="A7142" t="s">
        <v>198</v>
      </c>
      <c r="B7142" t="s">
        <v>228</v>
      </c>
      <c r="C7142">
        <v>33</v>
      </c>
      <c r="D7142" t="s">
        <v>197</v>
      </c>
      <c r="E7142">
        <v>2623</v>
      </c>
      <c r="F7142" s="1">
        <v>1.7299999999999999E-2</v>
      </c>
      <c r="G7142" s="1">
        <v>0.3533</v>
      </c>
      <c r="H7142" s="1">
        <v>6.5500000000000003E-2</v>
      </c>
      <c r="I7142" s="1">
        <v>0.1113</v>
      </c>
      <c r="J7142" s="1">
        <v>4.2900000000000001E-2</v>
      </c>
      <c r="K7142" s="1">
        <v>6.5500000000000003E-2</v>
      </c>
      <c r="L7142" s="1">
        <v>0.439</v>
      </c>
      <c r="O7142" s="1">
        <v>9.64E-2</v>
      </c>
      <c r="Q7142" s="1">
        <v>1.7299999999999999E-2</v>
      </c>
      <c r="T7142" s="1">
        <v>4.82E-2</v>
      </c>
    </row>
    <row r="7143" spans="1:21" x14ac:dyDescent="0.25">
      <c r="A7143" t="s">
        <v>198</v>
      </c>
      <c r="B7143" t="s">
        <v>229</v>
      </c>
      <c r="C7143">
        <v>49</v>
      </c>
      <c r="D7143" t="s">
        <v>197</v>
      </c>
      <c r="E7143">
        <v>2623</v>
      </c>
      <c r="F7143" s="1">
        <v>1.32E-2</v>
      </c>
      <c r="G7143" s="1">
        <v>0.50090000000000001</v>
      </c>
      <c r="H7143" s="1">
        <v>4.8399999999999999E-2</v>
      </c>
      <c r="I7143" s="1">
        <v>0.23669999999999999</v>
      </c>
      <c r="J7143" s="1">
        <v>0.16200000000000001</v>
      </c>
      <c r="K7143" s="1">
        <v>8.9399999999999993E-2</v>
      </c>
      <c r="L7143" s="1">
        <v>0.1045</v>
      </c>
      <c r="O7143" s="1">
        <v>0.27079999999999999</v>
      </c>
      <c r="P7143" s="1">
        <v>0.1143</v>
      </c>
      <c r="Q7143" s="1">
        <v>7.6200000000000004E-2</v>
      </c>
      <c r="R7143" s="1">
        <v>2.63E-2</v>
      </c>
      <c r="S7143" s="1">
        <v>1.32E-2</v>
      </c>
      <c r="T7143" s="1">
        <v>3.7400000000000003E-2</v>
      </c>
      <c r="U7143" s="1">
        <v>3.7400000000000003E-2</v>
      </c>
    </row>
    <row r="7144" spans="1:21" x14ac:dyDescent="0.25">
      <c r="A7144" t="s">
        <v>198</v>
      </c>
      <c r="B7144" t="s">
        <v>228</v>
      </c>
      <c r="C7144">
        <v>145</v>
      </c>
      <c r="D7144" t="s">
        <v>199</v>
      </c>
      <c r="E7144">
        <v>2623</v>
      </c>
      <c r="G7144" s="1">
        <v>0.30780000000000002</v>
      </c>
      <c r="H7144" s="1">
        <v>7.4399999999999994E-2</v>
      </c>
      <c r="I7144" s="1">
        <v>0.27960000000000002</v>
      </c>
      <c r="J7144" s="1">
        <v>7.8100000000000003E-2</v>
      </c>
      <c r="K7144" s="1">
        <v>4.4000000000000003E-3</v>
      </c>
      <c r="L7144" s="1">
        <v>0.35820000000000002</v>
      </c>
      <c r="O7144" s="1">
        <v>0.19839999999999999</v>
      </c>
      <c r="P7144" s="1">
        <v>1.14E-2</v>
      </c>
      <c r="Q7144" s="1">
        <v>0.2109</v>
      </c>
      <c r="R7144" s="1">
        <v>0.13239999999999999</v>
      </c>
    </row>
    <row r="7145" spans="1:21" x14ac:dyDescent="0.25">
      <c r="A7145" t="s">
        <v>198</v>
      </c>
      <c r="B7145" t="s">
        <v>229</v>
      </c>
      <c r="C7145">
        <v>213</v>
      </c>
      <c r="D7145" t="s">
        <v>199</v>
      </c>
      <c r="E7145">
        <v>2623</v>
      </c>
      <c r="F7145" s="1">
        <v>1.32E-2</v>
      </c>
      <c r="G7145" s="1">
        <v>0.27279999999999999</v>
      </c>
      <c r="H7145" s="1">
        <v>0.247</v>
      </c>
      <c r="I7145" s="1">
        <v>0.45469999999999999</v>
      </c>
      <c r="J7145" s="1">
        <v>0.25359999999999999</v>
      </c>
      <c r="K7145" s="1">
        <v>0.1143</v>
      </c>
      <c r="L7145" s="1">
        <v>7.6200000000000004E-2</v>
      </c>
      <c r="O7145" s="1">
        <v>0.35160000000000002</v>
      </c>
      <c r="P7145" s="1">
        <v>0.25530000000000003</v>
      </c>
      <c r="Q7145" s="1">
        <v>0.22989999999999999</v>
      </c>
      <c r="R7145" s="1">
        <v>0.1489</v>
      </c>
      <c r="S7145" s="1">
        <v>3.1899999999999998E-2</v>
      </c>
      <c r="T7145" s="1">
        <v>1.55E-2</v>
      </c>
      <c r="U7145" s="1">
        <v>0.17330000000000001</v>
      </c>
    </row>
    <row r="7146" spans="1:21" x14ac:dyDescent="0.25">
      <c r="A7146" t="s">
        <v>198</v>
      </c>
      <c r="B7146" t="s">
        <v>229</v>
      </c>
      <c r="C7146">
        <v>269</v>
      </c>
      <c r="D7146" t="s">
        <v>200</v>
      </c>
      <c r="E7146">
        <v>2623</v>
      </c>
      <c r="F7146" s="1">
        <v>5.6800000000000003E-2</v>
      </c>
      <c r="G7146" s="1">
        <v>0.48459999999999998</v>
      </c>
      <c r="H7146" s="1">
        <v>0.14319999999999999</v>
      </c>
      <c r="I7146" s="1">
        <v>0.28060000000000002</v>
      </c>
      <c r="J7146" s="1">
        <v>0.17829999999999999</v>
      </c>
      <c r="K7146" s="1">
        <v>9.69E-2</v>
      </c>
      <c r="L7146" s="1">
        <v>8.8599999999999998E-2</v>
      </c>
      <c r="O7146" s="1">
        <v>0.2757</v>
      </c>
      <c r="P7146" s="1">
        <v>0.1953</v>
      </c>
      <c r="Q7146" s="1">
        <v>0.2029</v>
      </c>
      <c r="R7146" s="1">
        <v>4.9500000000000002E-2</v>
      </c>
      <c r="S7146" s="1">
        <v>4.2900000000000001E-2</v>
      </c>
      <c r="T7146" s="1">
        <v>6.3200000000000006E-2</v>
      </c>
      <c r="U7146" s="1">
        <v>0.1104</v>
      </c>
    </row>
    <row r="7147" spans="1:21" x14ac:dyDescent="0.25">
      <c r="A7147" t="s">
        <v>198</v>
      </c>
      <c r="B7147" t="s">
        <v>228</v>
      </c>
      <c r="C7147">
        <v>110</v>
      </c>
      <c r="D7147" t="s">
        <v>200</v>
      </c>
      <c r="E7147">
        <v>2623</v>
      </c>
      <c r="F7147" s="1">
        <v>4.3299999999999998E-2</v>
      </c>
      <c r="G7147" s="1">
        <v>0.39069999999999999</v>
      </c>
      <c r="H7147" s="1">
        <v>0.1215</v>
      </c>
      <c r="I7147" s="1">
        <v>0.24560000000000001</v>
      </c>
      <c r="J7147" s="1">
        <v>4.07E-2</v>
      </c>
      <c r="K7147" s="1">
        <v>3.5499999999999997E-2</v>
      </c>
      <c r="L7147" s="1">
        <v>0.27979999999999999</v>
      </c>
      <c r="O7147" s="1">
        <v>4.9000000000000002E-2</v>
      </c>
      <c r="P7147" s="1">
        <v>7.5499999999999998E-2</v>
      </c>
      <c r="Q7147" s="1">
        <v>3.6600000000000001E-2</v>
      </c>
      <c r="R7147" s="1">
        <v>7.6E-3</v>
      </c>
      <c r="S7147" s="1">
        <v>5.6899999999999999E-2</v>
      </c>
      <c r="T7147" s="1">
        <v>2.6700000000000002E-2</v>
      </c>
      <c r="U7147" s="1">
        <v>1.52E-2</v>
      </c>
    </row>
    <row r="7148" spans="1:21" x14ac:dyDescent="0.25">
      <c r="A7148" t="s">
        <v>198</v>
      </c>
      <c r="B7148" t="s">
        <v>228</v>
      </c>
      <c r="C7148">
        <v>95</v>
      </c>
      <c r="D7148" t="s">
        <v>201</v>
      </c>
      <c r="E7148">
        <v>2623</v>
      </c>
      <c r="F7148" s="1">
        <v>8.9999999999999993E-3</v>
      </c>
      <c r="G7148" s="1">
        <v>0.3805</v>
      </c>
      <c r="H7148" s="1">
        <v>5.4800000000000001E-2</v>
      </c>
      <c r="I7148" s="1">
        <v>0.13750000000000001</v>
      </c>
      <c r="J7148" s="1">
        <v>9.4799999999999995E-2</v>
      </c>
      <c r="K7148" s="1">
        <v>1.78E-2</v>
      </c>
      <c r="L7148" s="1">
        <v>0.3669</v>
      </c>
      <c r="O7148" s="1">
        <v>0.11219999999999999</v>
      </c>
      <c r="P7148" s="1">
        <v>6.8199999999999997E-2</v>
      </c>
      <c r="Q7148" s="1">
        <v>2.6599999999999999E-2</v>
      </c>
      <c r="R7148" s="1">
        <v>3.4799999999999998E-2</v>
      </c>
      <c r="T7148" s="1">
        <v>8.9999999999999993E-3</v>
      </c>
      <c r="U7148" s="1">
        <v>5.7999999999999996E-3</v>
      </c>
    </row>
    <row r="7149" spans="1:21" x14ac:dyDescent="0.25">
      <c r="A7149" t="s">
        <v>198</v>
      </c>
      <c r="B7149" t="s">
        <v>229</v>
      </c>
      <c r="C7149">
        <v>154</v>
      </c>
      <c r="D7149" t="s">
        <v>201</v>
      </c>
      <c r="E7149">
        <v>2623</v>
      </c>
      <c r="F7149" s="1">
        <v>2.58E-2</v>
      </c>
      <c r="G7149" s="1">
        <v>0.5323</v>
      </c>
      <c r="H7149" s="1">
        <v>4.07E-2</v>
      </c>
      <c r="I7149" s="1">
        <v>0.1842</v>
      </c>
      <c r="J7149" s="1">
        <v>0.1137</v>
      </c>
      <c r="K7149" s="1">
        <v>6.4799999999999996E-2</v>
      </c>
      <c r="L7149" s="1">
        <v>6.9500000000000006E-2</v>
      </c>
      <c r="O7149" s="1">
        <v>0.29659999999999997</v>
      </c>
      <c r="P7149" s="1">
        <v>0.1179</v>
      </c>
      <c r="Q7149" s="1">
        <v>0.14979999999999999</v>
      </c>
      <c r="R7149" s="1">
        <v>5.8999999999999997E-2</v>
      </c>
      <c r="S7149" s="1">
        <v>2.1999999999999999E-2</v>
      </c>
      <c r="T7149" s="1">
        <v>2.4899999999999999E-2</v>
      </c>
      <c r="U7149" s="1">
        <v>8.8900000000000007E-2</v>
      </c>
    </row>
    <row r="7150" spans="1:21" s="29" customFormat="1" x14ac:dyDescent="0.25">
      <c r="A7150" s="29" t="s">
        <v>198</v>
      </c>
      <c r="B7150" s="29" t="s">
        <v>228</v>
      </c>
      <c r="C7150" s="29">
        <v>28</v>
      </c>
      <c r="D7150" s="29" t="s">
        <v>202</v>
      </c>
      <c r="E7150" s="29">
        <v>2623</v>
      </c>
      <c r="G7150" s="30">
        <v>0.23669999999999999</v>
      </c>
      <c r="H7150" s="30">
        <v>5.0900000000000001E-2</v>
      </c>
      <c r="I7150" s="30">
        <v>0.25779999999999997</v>
      </c>
      <c r="J7150" s="30">
        <v>7.5300000000000006E-2</v>
      </c>
      <c r="K7150" s="30">
        <v>6.8400000000000002E-2</v>
      </c>
      <c r="L7150" s="30">
        <v>0.32019999999999998</v>
      </c>
      <c r="O7150" s="30">
        <v>0.1129</v>
      </c>
      <c r="P7150" s="30">
        <v>6.1600000000000002E-2</v>
      </c>
      <c r="Q7150" s="30">
        <v>3.39E-2</v>
      </c>
      <c r="S7150" s="30">
        <v>1.0699999999999999E-2</v>
      </c>
    </row>
    <row r="7151" spans="1:21" x14ac:dyDescent="0.25">
      <c r="A7151" t="s">
        <v>198</v>
      </c>
      <c r="B7151" t="s">
        <v>229</v>
      </c>
      <c r="C7151">
        <v>67</v>
      </c>
      <c r="D7151" t="s">
        <v>202</v>
      </c>
      <c r="E7151">
        <v>2623</v>
      </c>
      <c r="F7151" s="1">
        <v>3.8300000000000001E-2</v>
      </c>
      <c r="G7151" s="1">
        <v>0.3629</v>
      </c>
      <c r="H7151" s="1">
        <v>0.107</v>
      </c>
      <c r="I7151" s="1">
        <v>0.21640000000000001</v>
      </c>
      <c r="J7151" s="1">
        <v>0.22309999999999999</v>
      </c>
      <c r="K7151" s="1">
        <v>5.6500000000000002E-2</v>
      </c>
      <c r="L7151" s="1">
        <v>8.8499999999999995E-2</v>
      </c>
      <c r="M7151" s="1">
        <v>1.26E-2</v>
      </c>
      <c r="O7151" s="1">
        <v>0.39839999999999998</v>
      </c>
      <c r="P7151" s="1">
        <v>0.2157</v>
      </c>
      <c r="Q7151" s="1">
        <v>0.11799999999999999</v>
      </c>
      <c r="R7151" s="1">
        <v>8.4500000000000006E-2</v>
      </c>
      <c r="S7151" s="1">
        <v>4.1700000000000001E-2</v>
      </c>
      <c r="T7151" s="1">
        <v>3.8300000000000001E-2</v>
      </c>
      <c r="U7151" s="1">
        <v>5.9799999999999999E-2</v>
      </c>
    </row>
    <row r="7152" spans="1:21" x14ac:dyDescent="0.25">
      <c r="A7152" t="s">
        <v>203</v>
      </c>
      <c r="B7152" t="s">
        <v>229</v>
      </c>
      <c r="C7152">
        <v>370</v>
      </c>
      <c r="D7152" t="s">
        <v>199</v>
      </c>
      <c r="E7152">
        <v>2623</v>
      </c>
      <c r="F7152" s="1">
        <v>2.6100000000000002E-2</v>
      </c>
      <c r="G7152" s="1">
        <v>0.30209999999999998</v>
      </c>
      <c r="H7152" s="1">
        <v>0.1142</v>
      </c>
      <c r="I7152" s="1">
        <v>0.47960000000000003</v>
      </c>
      <c r="J7152" s="1">
        <v>0.19639999999999999</v>
      </c>
      <c r="K7152" s="1">
        <v>7.4200000000000002E-2</v>
      </c>
      <c r="L7152" s="1">
        <v>8.4400000000000003E-2</v>
      </c>
      <c r="N7152" s="1">
        <v>1.1999999999999999E-3</v>
      </c>
      <c r="O7152" s="1">
        <v>0.38800000000000001</v>
      </c>
      <c r="P7152" s="1">
        <v>0.13270000000000001</v>
      </c>
      <c r="Q7152" s="1">
        <v>0.23369999999999999</v>
      </c>
      <c r="R7152" s="1">
        <v>6.25E-2</v>
      </c>
      <c r="S7152" s="1">
        <v>1.5299999999999999E-2</v>
      </c>
      <c r="T7152" s="1">
        <v>2.1899999999999999E-2</v>
      </c>
      <c r="U7152" s="1">
        <v>7.1099999999999997E-2</v>
      </c>
    </row>
    <row r="7153" spans="1:21" x14ac:dyDescent="0.25">
      <c r="A7153" t="s">
        <v>203</v>
      </c>
      <c r="B7153" t="s">
        <v>228</v>
      </c>
      <c r="C7153">
        <v>150</v>
      </c>
      <c r="D7153" t="s">
        <v>199</v>
      </c>
      <c r="E7153">
        <v>2623</v>
      </c>
      <c r="F7153" s="1">
        <v>1.8E-3</v>
      </c>
      <c r="G7153" s="1">
        <v>0.21659999999999999</v>
      </c>
      <c r="H7153" s="1">
        <v>6.7000000000000002E-3</v>
      </c>
      <c r="I7153" s="1">
        <v>0.37980000000000003</v>
      </c>
      <c r="J7153" s="1">
        <v>9.3600000000000003E-2</v>
      </c>
      <c r="K7153" s="1">
        <v>8.9999999999999998E-4</v>
      </c>
      <c r="L7153" s="1">
        <v>0.26919999999999999</v>
      </c>
      <c r="O7153" s="1">
        <v>0.25109999999999999</v>
      </c>
      <c r="P7153" s="1">
        <v>9.8000000000000004E-2</v>
      </c>
      <c r="Q7153" s="1">
        <v>0.17460000000000001</v>
      </c>
      <c r="R7153" s="1">
        <v>8.9999999999999998E-4</v>
      </c>
      <c r="S7153" s="1">
        <v>6.7000000000000002E-3</v>
      </c>
      <c r="T7153" s="1">
        <v>8.9999999999999998E-4</v>
      </c>
    </row>
    <row r="7154" spans="1:21" x14ac:dyDescent="0.25">
      <c r="A7154" t="s">
        <v>203</v>
      </c>
      <c r="B7154" t="s">
        <v>229</v>
      </c>
      <c r="C7154">
        <v>345</v>
      </c>
      <c r="D7154" t="s">
        <v>200</v>
      </c>
      <c r="E7154">
        <v>2623</v>
      </c>
      <c r="F7154" s="1">
        <v>0.30859999999999999</v>
      </c>
      <c r="G7154" s="1">
        <v>0.15579999999999999</v>
      </c>
      <c r="H7154" s="1">
        <v>0.45219999999999999</v>
      </c>
      <c r="I7154" s="1">
        <v>0.69259999999999999</v>
      </c>
      <c r="J7154" s="1">
        <v>0.48420000000000002</v>
      </c>
      <c r="K7154" s="1">
        <v>0.37519999999999998</v>
      </c>
      <c r="L7154" s="1">
        <v>3.6799999999999999E-2</v>
      </c>
      <c r="N7154" s="1">
        <v>1.5E-3</v>
      </c>
      <c r="O7154" s="1">
        <v>0.47820000000000001</v>
      </c>
      <c r="P7154" s="1">
        <v>0.45069999999999999</v>
      </c>
      <c r="Q7154" s="1">
        <v>0.59730000000000005</v>
      </c>
      <c r="R7154" s="1">
        <v>0.3281</v>
      </c>
      <c r="S7154" s="1">
        <v>0.20499999999999999</v>
      </c>
      <c r="T7154" s="1">
        <v>0.3206</v>
      </c>
      <c r="U7154" s="1">
        <v>0.3599</v>
      </c>
    </row>
    <row r="7155" spans="1:21" x14ac:dyDescent="0.25">
      <c r="A7155" t="s">
        <v>203</v>
      </c>
      <c r="B7155" t="s">
        <v>228</v>
      </c>
      <c r="C7155">
        <v>155</v>
      </c>
      <c r="D7155" t="s">
        <v>200</v>
      </c>
      <c r="E7155">
        <v>2623</v>
      </c>
      <c r="F7155" s="1">
        <v>0.11219999999999999</v>
      </c>
      <c r="G7155" s="1">
        <v>0.158</v>
      </c>
      <c r="H7155" s="1">
        <v>0.27010000000000001</v>
      </c>
      <c r="I7155" s="1">
        <v>0.54349999999999998</v>
      </c>
      <c r="J7155" s="1">
        <v>0.27729999999999999</v>
      </c>
      <c r="K7155" s="1">
        <v>0.19120000000000001</v>
      </c>
      <c r="L7155" s="1">
        <v>0.2102</v>
      </c>
      <c r="N7155" s="1">
        <v>9.1000000000000004E-3</v>
      </c>
      <c r="O7155" s="1">
        <v>0.27050000000000002</v>
      </c>
      <c r="P7155" s="1">
        <v>0.28220000000000001</v>
      </c>
      <c r="Q7155" s="1">
        <v>0.26240000000000002</v>
      </c>
      <c r="R7155" s="1">
        <v>0.1106</v>
      </c>
      <c r="S7155" s="1">
        <v>6.4000000000000001E-2</v>
      </c>
      <c r="T7155" s="1">
        <v>8.2799999999999999E-2</v>
      </c>
      <c r="U7155" s="1">
        <v>0.14430000000000001</v>
      </c>
    </row>
    <row r="7156" spans="1:21" x14ac:dyDescent="0.25">
      <c r="A7156" t="s">
        <v>203</v>
      </c>
      <c r="B7156" t="s">
        <v>229</v>
      </c>
      <c r="C7156">
        <v>136</v>
      </c>
      <c r="D7156" t="s">
        <v>201</v>
      </c>
      <c r="E7156">
        <v>2623</v>
      </c>
      <c r="F7156" s="1">
        <v>1.0699999999999999E-2</v>
      </c>
      <c r="G7156" s="1">
        <v>0.44159999999999999</v>
      </c>
      <c r="H7156" s="1">
        <v>4.0599999999999997E-2</v>
      </c>
      <c r="I7156" s="1">
        <v>0.3856</v>
      </c>
      <c r="J7156" s="1">
        <v>2.6800000000000001E-2</v>
      </c>
      <c r="K7156" s="1">
        <v>8.0299999999999996E-2</v>
      </c>
      <c r="L7156" s="1">
        <v>7.2099999999999997E-2</v>
      </c>
      <c r="O7156" s="1">
        <v>0.127</v>
      </c>
      <c r="P7156" s="1">
        <v>0.16830000000000001</v>
      </c>
      <c r="Q7156" s="1">
        <v>0.25729999999999997</v>
      </c>
      <c r="R7156" s="1">
        <v>3.9199999999999999E-2</v>
      </c>
      <c r="S7156" s="1">
        <v>4.7399999999999998E-2</v>
      </c>
      <c r="T7156" s="1">
        <v>9.1999999999999998E-3</v>
      </c>
      <c r="U7156" s="1">
        <v>7.8600000000000003E-2</v>
      </c>
    </row>
    <row r="7157" spans="1:21" x14ac:dyDescent="0.25">
      <c r="A7157" t="s">
        <v>203</v>
      </c>
      <c r="B7157" t="s">
        <v>228</v>
      </c>
      <c r="C7157">
        <v>175</v>
      </c>
      <c r="D7157" t="s">
        <v>201</v>
      </c>
      <c r="E7157">
        <v>2623</v>
      </c>
      <c r="F7157" s="1">
        <v>1.4500000000000001E-2</v>
      </c>
      <c r="G7157" s="1">
        <v>8.72E-2</v>
      </c>
      <c r="H7157" s="1">
        <v>4.2200000000000001E-2</v>
      </c>
      <c r="I7157" s="1">
        <v>0.19839999999999999</v>
      </c>
      <c r="J7157" s="1">
        <v>1.4500000000000001E-2</v>
      </c>
      <c r="K7157" s="1">
        <v>1.23E-2</v>
      </c>
      <c r="L7157" s="1">
        <v>0.6452</v>
      </c>
      <c r="O7157" s="1">
        <v>8.1699999999999995E-2</v>
      </c>
      <c r="P7157" s="1">
        <v>2.86E-2</v>
      </c>
      <c r="Q7157" s="1">
        <v>5.5999999999999999E-3</v>
      </c>
      <c r="R7157" s="1">
        <v>7.3000000000000001E-3</v>
      </c>
      <c r="S7157" s="1">
        <v>8.6999999999999994E-3</v>
      </c>
      <c r="T7157" s="1">
        <v>1.4500000000000001E-2</v>
      </c>
      <c r="U7157" s="1">
        <v>2.5000000000000001E-3</v>
      </c>
    </row>
    <row r="7158" spans="1:21" x14ac:dyDescent="0.25">
      <c r="A7158" t="s">
        <v>203</v>
      </c>
      <c r="B7158" t="s">
        <v>228</v>
      </c>
      <c r="C7158">
        <v>34</v>
      </c>
      <c r="D7158" t="s">
        <v>202</v>
      </c>
      <c r="E7158">
        <v>2623</v>
      </c>
      <c r="G7158" s="1">
        <v>0.26950000000000002</v>
      </c>
      <c r="H7158" s="1">
        <v>0.12809999999999999</v>
      </c>
      <c r="I7158" s="1">
        <v>0.3538</v>
      </c>
      <c r="J7158" s="1">
        <v>0.113</v>
      </c>
      <c r="K7158" s="1">
        <v>4.7300000000000002E-2</v>
      </c>
      <c r="L7158" s="1">
        <v>0.31929999999999997</v>
      </c>
      <c r="O7158" s="1">
        <v>0.14710000000000001</v>
      </c>
      <c r="P7158" s="1">
        <v>0.2487</v>
      </c>
      <c r="Q7158" s="1">
        <v>4.7600000000000003E-2</v>
      </c>
      <c r="U7158" s="1">
        <v>1.32E-2</v>
      </c>
    </row>
    <row r="7159" spans="1:21" x14ac:dyDescent="0.25">
      <c r="A7159" t="s">
        <v>203</v>
      </c>
      <c r="B7159" t="s">
        <v>229</v>
      </c>
      <c r="C7159">
        <v>56</v>
      </c>
      <c r="D7159" t="s">
        <v>202</v>
      </c>
      <c r="E7159">
        <v>2623</v>
      </c>
      <c r="F7159" s="1">
        <v>1.2200000000000001E-2</v>
      </c>
      <c r="G7159" s="1">
        <v>0.21970000000000001</v>
      </c>
      <c r="H7159" s="1">
        <v>0.2354</v>
      </c>
      <c r="I7159" s="1">
        <v>0.48599999999999999</v>
      </c>
      <c r="J7159" s="1">
        <v>0.34029999999999999</v>
      </c>
      <c r="K7159" s="1">
        <v>0.26229999999999998</v>
      </c>
      <c r="L7159" s="1">
        <v>6.7299999999999999E-2</v>
      </c>
      <c r="O7159" s="1">
        <v>0.34649999999999997</v>
      </c>
      <c r="P7159" s="1">
        <v>0.3846</v>
      </c>
      <c r="Q7159" s="1">
        <v>0.39610000000000001</v>
      </c>
      <c r="R7159" s="1">
        <v>3.6700000000000003E-2</v>
      </c>
      <c r="S7159" s="1">
        <v>0.1133</v>
      </c>
      <c r="T7159" s="1">
        <v>0.1268</v>
      </c>
      <c r="U7159" s="1">
        <v>0.1578</v>
      </c>
    </row>
    <row r="7160" spans="1:21" x14ac:dyDescent="0.25">
      <c r="A7160" t="s">
        <v>204</v>
      </c>
      <c r="B7160" t="s">
        <v>204</v>
      </c>
      <c r="C7160">
        <v>2623</v>
      </c>
      <c r="D7160" t="s">
        <v>204</v>
      </c>
      <c r="E7160">
        <v>2623</v>
      </c>
      <c r="F7160" s="1">
        <v>9.9400000000000002E-2</v>
      </c>
      <c r="G7160" s="1">
        <v>0.29430000000000001</v>
      </c>
      <c r="H7160" s="1">
        <v>0.2107</v>
      </c>
      <c r="I7160" s="1">
        <v>0.43230000000000002</v>
      </c>
      <c r="J7160" s="1">
        <v>0.24970000000000001</v>
      </c>
      <c r="K7160" s="1">
        <v>0.16039999999999999</v>
      </c>
      <c r="L7160" s="1">
        <v>0.12529999999999999</v>
      </c>
      <c r="M7160" s="1">
        <v>8.9999999999999998E-4</v>
      </c>
      <c r="N7160" s="1">
        <v>1.1000000000000001E-3</v>
      </c>
      <c r="O7160" s="1">
        <v>0.32679999999999998</v>
      </c>
      <c r="P7160" s="1">
        <v>0.2414</v>
      </c>
      <c r="Q7160" s="1">
        <v>0.28510000000000002</v>
      </c>
      <c r="R7160" s="1">
        <v>0.1303</v>
      </c>
      <c r="S7160" s="1">
        <v>7.5499999999999998E-2</v>
      </c>
      <c r="T7160" s="1">
        <v>0.10630000000000001</v>
      </c>
      <c r="U7160" s="1">
        <v>0.1507</v>
      </c>
    </row>
    <row r="7162" spans="1:21" x14ac:dyDescent="0.25">
      <c r="A7162" t="s">
        <v>1344</v>
      </c>
    </row>
    <row r="7163" spans="1:21" x14ac:dyDescent="0.25">
      <c r="A7163" t="s">
        <v>190</v>
      </c>
      <c r="B7163" t="s">
        <v>195</v>
      </c>
      <c r="C7163" t="s">
        <v>189</v>
      </c>
      <c r="D7163" t="s">
        <v>196</v>
      </c>
      <c r="E7163" t="s">
        <v>1345</v>
      </c>
      <c r="F7163" t="s">
        <v>220</v>
      </c>
      <c r="G7163" t="s">
        <v>1332</v>
      </c>
      <c r="H7163" t="s">
        <v>1346</v>
      </c>
      <c r="I7163" t="s">
        <v>1347</v>
      </c>
      <c r="J7163" t="s">
        <v>1348</v>
      </c>
      <c r="K7163" t="s">
        <v>271</v>
      </c>
      <c r="L7163" t="s">
        <v>235</v>
      </c>
      <c r="M7163" t="s">
        <v>215</v>
      </c>
      <c r="N7163" t="s">
        <v>1337</v>
      </c>
      <c r="O7163" t="s">
        <v>1349</v>
      </c>
      <c r="P7163" t="s">
        <v>1341</v>
      </c>
    </row>
    <row r="7164" spans="1:21" x14ac:dyDescent="0.25">
      <c r="A7164" t="s">
        <v>198</v>
      </c>
      <c r="B7164">
        <v>81</v>
      </c>
      <c r="C7164" t="s">
        <v>197</v>
      </c>
      <c r="D7164">
        <v>2628</v>
      </c>
      <c r="E7164" s="1">
        <v>3.5499999999999997E-2</v>
      </c>
      <c r="F7164" s="1">
        <v>0.52170000000000005</v>
      </c>
      <c r="G7164" s="1">
        <v>0.1182</v>
      </c>
      <c r="H7164" s="1">
        <v>0.13</v>
      </c>
      <c r="I7164" s="1">
        <v>7.6E-3</v>
      </c>
      <c r="J7164" s="1">
        <v>0.1537</v>
      </c>
      <c r="K7164" s="1">
        <v>5.2999999999999999E-2</v>
      </c>
      <c r="N7164" s="1">
        <v>0.36030000000000001</v>
      </c>
      <c r="O7164" s="1">
        <v>5.5100000000000003E-2</v>
      </c>
      <c r="P7164" s="1">
        <v>3.27E-2</v>
      </c>
    </row>
    <row r="7165" spans="1:21" x14ac:dyDescent="0.25">
      <c r="A7165" t="s">
        <v>198</v>
      </c>
      <c r="B7165">
        <v>368</v>
      </c>
      <c r="C7165" t="s">
        <v>199</v>
      </c>
      <c r="D7165">
        <v>2628</v>
      </c>
      <c r="E7165" s="1">
        <v>0.26629999999999998</v>
      </c>
      <c r="F7165" s="1">
        <v>0.35470000000000002</v>
      </c>
      <c r="G7165" s="1">
        <v>0.31640000000000001</v>
      </c>
      <c r="H7165" s="1">
        <v>7.9000000000000001E-2</v>
      </c>
      <c r="I7165" s="1">
        <v>1.2200000000000001E-2</v>
      </c>
      <c r="J7165" s="1">
        <v>0.1991</v>
      </c>
      <c r="K7165" s="1">
        <v>5.5199999999999999E-2</v>
      </c>
      <c r="L7165" s="1">
        <v>2.5000000000000001E-3</v>
      </c>
      <c r="N7165" s="1">
        <v>0.39500000000000002</v>
      </c>
      <c r="O7165" s="1">
        <v>0.1229</v>
      </c>
      <c r="P7165" s="1">
        <v>4.36E-2</v>
      </c>
    </row>
    <row r="7166" spans="1:21" x14ac:dyDescent="0.25">
      <c r="A7166" t="s">
        <v>198</v>
      </c>
      <c r="B7166">
        <v>387</v>
      </c>
      <c r="C7166" t="s">
        <v>200</v>
      </c>
      <c r="D7166">
        <v>2628</v>
      </c>
      <c r="E7166" s="1">
        <v>0.11210000000000001</v>
      </c>
      <c r="F7166" s="1">
        <v>0.37319999999999998</v>
      </c>
      <c r="G7166" s="1">
        <v>0.1419</v>
      </c>
      <c r="H7166" s="1">
        <v>0.1246</v>
      </c>
      <c r="I7166" s="1">
        <v>2.0899999999999998E-2</v>
      </c>
      <c r="J7166" s="1">
        <v>0.17130000000000001</v>
      </c>
      <c r="K7166" s="1">
        <v>0.19189999999999999</v>
      </c>
      <c r="L7166" s="1">
        <v>7.7999999999999996E-3</v>
      </c>
      <c r="M7166" s="1">
        <v>1.4E-3</v>
      </c>
      <c r="N7166" s="1">
        <v>0.30990000000000001</v>
      </c>
      <c r="O7166" s="1">
        <v>8.5900000000000004E-2</v>
      </c>
      <c r="P7166" s="1">
        <v>4.07E-2</v>
      </c>
    </row>
    <row r="7167" spans="1:21" x14ac:dyDescent="0.25">
      <c r="A7167" t="s">
        <v>198</v>
      </c>
      <c r="B7167">
        <v>256</v>
      </c>
      <c r="C7167" t="s">
        <v>201</v>
      </c>
      <c r="D7167">
        <v>2628</v>
      </c>
      <c r="E7167" s="1">
        <v>0.15129999999999999</v>
      </c>
      <c r="F7167" s="1">
        <v>0.36620000000000003</v>
      </c>
      <c r="G7167" s="1">
        <v>0.182</v>
      </c>
      <c r="H7167" s="1">
        <v>0.1143</v>
      </c>
      <c r="I7167" s="1">
        <v>1.7000000000000001E-2</v>
      </c>
      <c r="J7167" s="1">
        <v>0.17369999999999999</v>
      </c>
      <c r="K7167" s="1">
        <v>8.6699999999999999E-2</v>
      </c>
      <c r="L7167" s="1">
        <v>4.7999999999999996E-3</v>
      </c>
      <c r="N7167" s="1">
        <v>0.3614</v>
      </c>
      <c r="O7167" s="1">
        <v>8.1900000000000001E-2</v>
      </c>
      <c r="P7167" s="1">
        <v>2.92E-2</v>
      </c>
    </row>
    <row r="7168" spans="1:21" x14ac:dyDescent="0.25">
      <c r="A7168" t="s">
        <v>198</v>
      </c>
      <c r="B7168">
        <v>96</v>
      </c>
      <c r="C7168" t="s">
        <v>202</v>
      </c>
      <c r="D7168">
        <v>2628</v>
      </c>
      <c r="E7168" s="1">
        <v>8.5300000000000001E-2</v>
      </c>
      <c r="F7168" s="1">
        <v>0.33129999999999998</v>
      </c>
      <c r="G7168" s="1">
        <v>8.7800000000000003E-2</v>
      </c>
      <c r="H7168" s="1">
        <v>0.10580000000000001</v>
      </c>
      <c r="I7168" s="1">
        <v>1.6199999999999999E-2</v>
      </c>
      <c r="J7168" s="1">
        <v>0.26590000000000003</v>
      </c>
      <c r="K7168" s="1">
        <v>0.1361</v>
      </c>
      <c r="L7168" s="1">
        <v>9.4999999999999998E-3</v>
      </c>
      <c r="N7168" s="1">
        <v>0.34889999999999999</v>
      </c>
      <c r="O7168" s="1">
        <v>5.67E-2</v>
      </c>
      <c r="P7168" s="1">
        <v>2.5000000000000001E-3</v>
      </c>
    </row>
    <row r="7169" spans="1:17" x14ac:dyDescent="0.25">
      <c r="A7169" t="s">
        <v>203</v>
      </c>
      <c r="B7169">
        <v>528</v>
      </c>
      <c r="C7169" t="s">
        <v>199</v>
      </c>
      <c r="D7169">
        <v>2628</v>
      </c>
      <c r="E7169" s="1">
        <v>0.31580000000000003</v>
      </c>
      <c r="F7169" s="1">
        <v>0.22270000000000001</v>
      </c>
      <c r="G7169" s="1">
        <v>0.43369999999999997</v>
      </c>
      <c r="H7169" s="1">
        <v>0.1275</v>
      </c>
      <c r="I7169" s="1">
        <v>2.8E-3</v>
      </c>
      <c r="J7169" s="1">
        <v>0.26519999999999999</v>
      </c>
      <c r="K7169" s="1">
        <v>5.5800000000000002E-2</v>
      </c>
      <c r="L7169" s="1">
        <v>1.38E-2</v>
      </c>
      <c r="M7169" s="1">
        <v>2E-3</v>
      </c>
      <c r="N7169" s="1">
        <v>0.47760000000000002</v>
      </c>
      <c r="O7169" s="1">
        <v>0.15709999999999999</v>
      </c>
      <c r="P7169" s="1">
        <v>6.5199999999999994E-2</v>
      </c>
    </row>
    <row r="7170" spans="1:17" x14ac:dyDescent="0.25">
      <c r="A7170" t="s">
        <v>203</v>
      </c>
      <c r="B7170">
        <v>501</v>
      </c>
      <c r="C7170" t="s">
        <v>200</v>
      </c>
      <c r="D7170">
        <v>2628</v>
      </c>
      <c r="E7170" s="1">
        <v>0.2742</v>
      </c>
      <c r="F7170" s="1">
        <v>0.22950000000000001</v>
      </c>
      <c r="G7170" s="1">
        <v>0.2465</v>
      </c>
      <c r="H7170" s="1">
        <v>0.19189999999999999</v>
      </c>
      <c r="I7170" s="1">
        <v>8.8200000000000001E-2</v>
      </c>
      <c r="J7170" s="1">
        <v>0.26050000000000001</v>
      </c>
      <c r="K7170" s="1">
        <v>0.17910000000000001</v>
      </c>
      <c r="L7170" s="1">
        <v>3.7199999999999997E-2</v>
      </c>
      <c r="M7170" s="1">
        <v>3.0999999999999999E-3</v>
      </c>
      <c r="N7170" s="1">
        <v>0.43180000000000002</v>
      </c>
      <c r="O7170" s="1">
        <v>0.18090000000000001</v>
      </c>
      <c r="P7170" s="1">
        <v>0.12239999999999999</v>
      </c>
    </row>
    <row r="7171" spans="1:17" x14ac:dyDescent="0.25">
      <c r="A7171" t="s">
        <v>203</v>
      </c>
      <c r="B7171">
        <v>321</v>
      </c>
      <c r="C7171" t="s">
        <v>201</v>
      </c>
      <c r="D7171">
        <v>2628</v>
      </c>
      <c r="E7171" s="1">
        <v>0.32240000000000002</v>
      </c>
      <c r="F7171" s="1">
        <v>0.18609999999999999</v>
      </c>
      <c r="G7171" s="1">
        <v>0.40529999999999999</v>
      </c>
      <c r="H7171" s="1">
        <v>0.1837</v>
      </c>
      <c r="I7171" s="1">
        <v>1.37E-2</v>
      </c>
      <c r="J7171" s="1">
        <v>0.24049999999999999</v>
      </c>
      <c r="K7171" s="1">
        <v>0.1177</v>
      </c>
      <c r="L7171" s="1">
        <v>1.6000000000000001E-3</v>
      </c>
      <c r="N7171" s="1">
        <v>0.50449999999999995</v>
      </c>
      <c r="O7171" s="1">
        <v>0.2155</v>
      </c>
      <c r="P7171" s="1">
        <v>6.1199999999999997E-2</v>
      </c>
    </row>
    <row r="7172" spans="1:17" x14ac:dyDescent="0.25">
      <c r="A7172" t="s">
        <v>203</v>
      </c>
      <c r="B7172">
        <v>90</v>
      </c>
      <c r="C7172" t="s">
        <v>202</v>
      </c>
      <c r="D7172">
        <v>2628</v>
      </c>
      <c r="E7172" s="1">
        <v>0.154</v>
      </c>
      <c r="F7172" s="1">
        <v>0.24560000000000001</v>
      </c>
      <c r="G7172" s="1">
        <v>0.21310000000000001</v>
      </c>
      <c r="H7172" s="1">
        <v>0.1366</v>
      </c>
      <c r="I7172" s="1">
        <v>3.1899999999999998E-2</v>
      </c>
      <c r="J7172" s="1">
        <v>0.28460000000000002</v>
      </c>
      <c r="K7172" s="1">
        <v>9.1399999999999995E-2</v>
      </c>
      <c r="N7172" s="1">
        <v>0.40989999999999999</v>
      </c>
      <c r="O7172" s="1">
        <v>0.14169999999999999</v>
      </c>
      <c r="P7172" s="1">
        <v>4.8999999999999998E-3</v>
      </c>
    </row>
    <row r="7173" spans="1:17" x14ac:dyDescent="0.25">
      <c r="A7173" t="s">
        <v>204</v>
      </c>
      <c r="B7173">
        <v>2628</v>
      </c>
      <c r="C7173" t="s">
        <v>204</v>
      </c>
      <c r="D7173">
        <v>2628</v>
      </c>
      <c r="E7173" s="1">
        <v>0.21579999999999999</v>
      </c>
      <c r="F7173" s="1">
        <v>0.29580000000000001</v>
      </c>
      <c r="G7173" s="1">
        <v>0.2472</v>
      </c>
      <c r="H7173" s="1">
        <v>0.14180000000000001</v>
      </c>
      <c r="I7173" s="1">
        <v>3.6799999999999999E-2</v>
      </c>
      <c r="J7173" s="1">
        <v>0.2319</v>
      </c>
      <c r="K7173" s="1">
        <v>0.12470000000000001</v>
      </c>
      <c r="L7173" s="1">
        <v>1.5699999999999999E-2</v>
      </c>
      <c r="M7173" s="1">
        <v>1.4E-3</v>
      </c>
      <c r="N7173" s="1">
        <v>0.40489999999999998</v>
      </c>
      <c r="O7173" s="1">
        <v>0.13389999999999999</v>
      </c>
      <c r="P7173" s="1">
        <v>6.4000000000000001E-2</v>
      </c>
    </row>
    <row r="7175" spans="1:17" x14ac:dyDescent="0.25">
      <c r="A7175" t="s">
        <v>1350</v>
      </c>
    </row>
    <row r="7176" spans="1:17" x14ac:dyDescent="0.25">
      <c r="A7176" t="s">
        <v>190</v>
      </c>
      <c r="B7176" t="s">
        <v>206</v>
      </c>
      <c r="C7176" t="s">
        <v>195</v>
      </c>
      <c r="D7176" t="s">
        <v>189</v>
      </c>
      <c r="E7176" t="s">
        <v>196</v>
      </c>
      <c r="F7176" t="s">
        <v>1345</v>
      </c>
      <c r="G7176" t="s">
        <v>220</v>
      </c>
      <c r="H7176" t="s">
        <v>1332</v>
      </c>
      <c r="I7176" t="s">
        <v>1346</v>
      </c>
      <c r="J7176" t="s">
        <v>1347</v>
      </c>
      <c r="K7176" t="s">
        <v>1348</v>
      </c>
      <c r="L7176" t="s">
        <v>271</v>
      </c>
      <c r="M7176" t="s">
        <v>235</v>
      </c>
      <c r="N7176" t="s">
        <v>215</v>
      </c>
      <c r="O7176" t="s">
        <v>1337</v>
      </c>
      <c r="P7176" t="s">
        <v>1349</v>
      </c>
      <c r="Q7176" t="s">
        <v>1341</v>
      </c>
    </row>
    <row r="7177" spans="1:17" x14ac:dyDescent="0.25">
      <c r="A7177" t="s">
        <v>198</v>
      </c>
      <c r="B7177" t="s">
        <v>228</v>
      </c>
      <c r="C7177">
        <v>32</v>
      </c>
      <c r="D7177" t="s">
        <v>197</v>
      </c>
      <c r="E7177">
        <v>2628</v>
      </c>
      <c r="G7177" s="1">
        <v>0.45240000000000002</v>
      </c>
      <c r="H7177" s="1">
        <v>0.11210000000000001</v>
      </c>
      <c r="I7177" s="1">
        <v>0.13539999999999999</v>
      </c>
      <c r="K7177" s="1">
        <v>0.1648</v>
      </c>
      <c r="L7177" s="1">
        <v>6.5799999999999997E-2</v>
      </c>
      <c r="O7177" s="1">
        <v>0.43209999999999998</v>
      </c>
      <c r="P7177" s="1">
        <v>2.64E-2</v>
      </c>
    </row>
    <row r="7178" spans="1:17" x14ac:dyDescent="0.25">
      <c r="A7178" t="s">
        <v>198</v>
      </c>
      <c r="B7178" t="s">
        <v>229</v>
      </c>
      <c r="C7178">
        <v>49</v>
      </c>
      <c r="D7178" t="s">
        <v>197</v>
      </c>
      <c r="E7178">
        <v>2628</v>
      </c>
      <c r="F7178" s="1">
        <v>6.1600000000000002E-2</v>
      </c>
      <c r="G7178" s="1">
        <v>0.57279999999999998</v>
      </c>
      <c r="H7178" s="1">
        <v>0.1227</v>
      </c>
      <c r="I7178" s="1">
        <v>0.126</v>
      </c>
      <c r="J7178" s="1">
        <v>1.32E-2</v>
      </c>
      <c r="K7178" s="1">
        <v>0.14549999999999999</v>
      </c>
      <c r="L7178" s="1">
        <v>4.36E-2</v>
      </c>
      <c r="O7178" s="1">
        <v>0.30740000000000001</v>
      </c>
      <c r="P7178" s="1">
        <v>7.6100000000000001E-2</v>
      </c>
      <c r="Q7178" s="1">
        <v>5.6800000000000003E-2</v>
      </c>
    </row>
    <row r="7179" spans="1:17" x14ac:dyDescent="0.25">
      <c r="A7179" t="s">
        <v>198</v>
      </c>
      <c r="B7179" t="s">
        <v>228</v>
      </c>
      <c r="C7179">
        <v>145</v>
      </c>
      <c r="D7179" t="s">
        <v>199</v>
      </c>
      <c r="E7179">
        <v>2628</v>
      </c>
      <c r="F7179" s="1">
        <v>0.2727</v>
      </c>
      <c r="G7179" s="1">
        <v>0.28939999999999999</v>
      </c>
      <c r="H7179" s="1">
        <v>0.34429999999999999</v>
      </c>
      <c r="I7179" s="1">
        <v>0.11940000000000001</v>
      </c>
      <c r="J7179" s="1">
        <v>3.8800000000000001E-2</v>
      </c>
      <c r="K7179" s="1">
        <v>0.2399</v>
      </c>
      <c r="L7179" s="1">
        <v>5.7799999999999997E-2</v>
      </c>
      <c r="M7179" s="1">
        <v>9.5999999999999992E-3</v>
      </c>
      <c r="O7179" s="1">
        <v>0.49480000000000002</v>
      </c>
      <c r="P7179" s="1">
        <v>4.4400000000000002E-2</v>
      </c>
      <c r="Q7179" s="1">
        <v>5.3400000000000003E-2</v>
      </c>
    </row>
    <row r="7180" spans="1:17" x14ac:dyDescent="0.25">
      <c r="A7180" t="s">
        <v>198</v>
      </c>
      <c r="B7180" t="s">
        <v>229</v>
      </c>
      <c r="C7180">
        <v>213</v>
      </c>
      <c r="D7180" t="s">
        <v>199</v>
      </c>
      <c r="E7180">
        <v>2628</v>
      </c>
      <c r="F7180" s="1">
        <v>0.26579999999999998</v>
      </c>
      <c r="G7180" s="1">
        <v>0.37730000000000002</v>
      </c>
      <c r="H7180" s="1">
        <v>0.30980000000000002</v>
      </c>
      <c r="I7180" s="1">
        <v>6.5699999999999995E-2</v>
      </c>
      <c r="J7180" s="1">
        <v>3.0999999999999999E-3</v>
      </c>
      <c r="K7180" s="1">
        <v>0.1865</v>
      </c>
      <c r="L7180" s="1">
        <v>5.4899999999999997E-2</v>
      </c>
      <c r="O7180" s="1">
        <v>0.35920000000000002</v>
      </c>
      <c r="P7180" s="1">
        <v>0.1515</v>
      </c>
      <c r="Q7180" s="1">
        <v>3.9399999999999998E-2</v>
      </c>
    </row>
    <row r="7181" spans="1:17" x14ac:dyDescent="0.25">
      <c r="A7181" t="s">
        <v>198</v>
      </c>
      <c r="B7181" t="s">
        <v>229</v>
      </c>
      <c r="C7181">
        <v>270</v>
      </c>
      <c r="D7181" t="s">
        <v>200</v>
      </c>
      <c r="E7181">
        <v>2628</v>
      </c>
      <c r="F7181" s="1">
        <v>0.10920000000000001</v>
      </c>
      <c r="G7181" s="1">
        <v>0.35980000000000001</v>
      </c>
      <c r="H7181" s="1">
        <v>0.121</v>
      </c>
      <c r="I7181" s="1">
        <v>0.1246</v>
      </c>
      <c r="J7181" s="1">
        <v>2.2100000000000002E-2</v>
      </c>
      <c r="K7181" s="1">
        <v>0.19389999999999999</v>
      </c>
      <c r="L7181" s="1">
        <v>0.22789999999999999</v>
      </c>
      <c r="N7181" s="1">
        <v>1.9E-3</v>
      </c>
      <c r="O7181" s="1">
        <v>0.31630000000000003</v>
      </c>
      <c r="P7181" s="1">
        <v>9.5000000000000001E-2</v>
      </c>
      <c r="Q7181" s="1">
        <v>4.2200000000000001E-2</v>
      </c>
    </row>
    <row r="7182" spans="1:17" x14ac:dyDescent="0.25">
      <c r="A7182" t="s">
        <v>198</v>
      </c>
      <c r="B7182" t="s">
        <v>228</v>
      </c>
      <c r="C7182">
        <v>112</v>
      </c>
      <c r="D7182" t="s">
        <v>200</v>
      </c>
      <c r="E7182">
        <v>2628</v>
      </c>
      <c r="F7182" s="1">
        <v>0.12479999999999999</v>
      </c>
      <c r="G7182" s="1">
        <v>0.4088</v>
      </c>
      <c r="H7182" s="1">
        <v>0.20499999999999999</v>
      </c>
      <c r="I7182" s="1">
        <v>0.1285</v>
      </c>
      <c r="J7182" s="1">
        <v>1.7899999999999999E-2</v>
      </c>
      <c r="K7182" s="1">
        <v>0.1017</v>
      </c>
      <c r="L7182" s="1">
        <v>7.9399999999999998E-2</v>
      </c>
      <c r="M7182" s="1">
        <v>3.3700000000000001E-2</v>
      </c>
      <c r="O7182" s="1">
        <v>0.29780000000000001</v>
      </c>
      <c r="P7182" s="1">
        <v>5.8799999999999998E-2</v>
      </c>
      <c r="Q7182" s="1">
        <v>3.6900000000000002E-2</v>
      </c>
    </row>
    <row r="7183" spans="1:17" x14ac:dyDescent="0.25">
      <c r="A7183" t="s">
        <v>198</v>
      </c>
      <c r="B7183" t="s">
        <v>228</v>
      </c>
      <c r="C7183">
        <v>95</v>
      </c>
      <c r="D7183" t="s">
        <v>201</v>
      </c>
      <c r="E7183">
        <v>2628</v>
      </c>
      <c r="F7183" s="1">
        <v>0.16930000000000001</v>
      </c>
      <c r="G7183" s="1">
        <v>0.36809999999999998</v>
      </c>
      <c r="H7183" s="1">
        <v>0.1956</v>
      </c>
      <c r="I7183" s="1">
        <v>0.1888</v>
      </c>
      <c r="J7183" s="1">
        <v>2.24E-2</v>
      </c>
      <c r="K7183" s="1">
        <v>0.1608</v>
      </c>
      <c r="L7183" s="1">
        <v>0.10929999999999999</v>
      </c>
      <c r="M7183" s="1">
        <v>2.24E-2</v>
      </c>
      <c r="O7183" s="1">
        <v>0.37319999999999998</v>
      </c>
      <c r="P7183" s="1">
        <v>0.1278</v>
      </c>
      <c r="Q7183" s="1">
        <v>2.8299999999999999E-2</v>
      </c>
    </row>
    <row r="7184" spans="1:17" x14ac:dyDescent="0.25">
      <c r="A7184" t="s">
        <v>198</v>
      </c>
      <c r="B7184" t="s">
        <v>229</v>
      </c>
      <c r="C7184">
        <v>155</v>
      </c>
      <c r="D7184" t="s">
        <v>201</v>
      </c>
      <c r="E7184">
        <v>2628</v>
      </c>
      <c r="F7184" s="1">
        <v>0.14799999999999999</v>
      </c>
      <c r="G7184" s="1">
        <v>0.37030000000000002</v>
      </c>
      <c r="H7184" s="1">
        <v>0.18</v>
      </c>
      <c r="I7184" s="1">
        <v>9.5100000000000004E-2</v>
      </c>
      <c r="J7184" s="1">
        <v>1.5800000000000002E-2</v>
      </c>
      <c r="K7184" s="1">
        <v>0.1734</v>
      </c>
      <c r="L7184" s="1">
        <v>7.5899999999999995E-2</v>
      </c>
      <c r="O7184" s="1">
        <v>0.3614</v>
      </c>
      <c r="P7184" s="1">
        <v>7.0400000000000004E-2</v>
      </c>
      <c r="Q7184" s="1">
        <v>2.9499999999999998E-2</v>
      </c>
    </row>
    <row r="7185" spans="1:17" s="29" customFormat="1" x14ac:dyDescent="0.25">
      <c r="A7185" s="29" t="s">
        <v>198</v>
      </c>
      <c r="B7185" s="29" t="s">
        <v>228</v>
      </c>
      <c r="C7185" s="29">
        <v>28</v>
      </c>
      <c r="D7185" s="29" t="s">
        <v>202</v>
      </c>
      <c r="E7185" s="29">
        <v>2628</v>
      </c>
      <c r="F7185" s="30">
        <v>8.4699999999999998E-2</v>
      </c>
      <c r="G7185" s="30">
        <v>0.26290000000000002</v>
      </c>
      <c r="H7185" s="30">
        <v>0.2452</v>
      </c>
      <c r="I7185" s="30">
        <v>0.28129999999999999</v>
      </c>
      <c r="J7185" s="30">
        <v>6.83E-2</v>
      </c>
      <c r="K7185" s="30">
        <v>0.31119999999999998</v>
      </c>
      <c r="L7185" s="30">
        <v>5.0900000000000001E-2</v>
      </c>
      <c r="O7185" s="30">
        <v>0.51170000000000004</v>
      </c>
      <c r="P7185" s="30">
        <v>0.1085</v>
      </c>
    </row>
    <row r="7186" spans="1:17" x14ac:dyDescent="0.25">
      <c r="A7186" t="s">
        <v>198</v>
      </c>
      <c r="B7186" t="s">
        <v>229</v>
      </c>
      <c r="C7186">
        <v>68</v>
      </c>
      <c r="D7186" t="s">
        <v>202</v>
      </c>
      <c r="E7186">
        <v>2628</v>
      </c>
      <c r="F7186" s="1">
        <v>8.5500000000000007E-2</v>
      </c>
      <c r="G7186" s="1">
        <v>0.35249999999999998</v>
      </c>
      <c r="H7186" s="1">
        <v>3.9100000000000003E-2</v>
      </c>
      <c r="I7186" s="1">
        <v>5.1499999999999997E-2</v>
      </c>
      <c r="K7186" s="1">
        <v>0.252</v>
      </c>
      <c r="L7186" s="1">
        <v>0.16250000000000001</v>
      </c>
      <c r="M7186" s="1">
        <v>1.24E-2</v>
      </c>
      <c r="O7186" s="1">
        <v>0.2984</v>
      </c>
      <c r="P7186" s="1">
        <v>4.0599999999999997E-2</v>
      </c>
      <c r="Q7186" s="1">
        <v>3.3E-3</v>
      </c>
    </row>
    <row r="7187" spans="1:17" x14ac:dyDescent="0.25">
      <c r="A7187" t="s">
        <v>203</v>
      </c>
      <c r="B7187" t="s">
        <v>229</v>
      </c>
      <c r="C7187">
        <v>370</v>
      </c>
      <c r="D7187" t="s">
        <v>199</v>
      </c>
      <c r="E7187">
        <v>2628</v>
      </c>
      <c r="F7187" s="1">
        <v>0.33179999999999998</v>
      </c>
      <c r="G7187" s="1">
        <v>0.21709999999999999</v>
      </c>
      <c r="H7187" s="1">
        <v>0.4546</v>
      </c>
      <c r="I7187" s="1">
        <v>0.1326</v>
      </c>
      <c r="J7187" s="1">
        <v>3.0999999999999999E-3</v>
      </c>
      <c r="K7187" s="1">
        <v>0.2767</v>
      </c>
      <c r="L7187" s="1">
        <v>3.5499999999999997E-2</v>
      </c>
      <c r="M7187" s="1">
        <v>1.4200000000000001E-2</v>
      </c>
      <c r="N7187" s="1">
        <v>5.9999999999999995E-4</v>
      </c>
      <c r="O7187" s="1">
        <v>0.4929</v>
      </c>
      <c r="P7187" s="1">
        <v>0.15459999999999999</v>
      </c>
      <c r="Q7187" s="1">
        <v>6.7100000000000007E-2</v>
      </c>
    </row>
    <row r="7188" spans="1:17" x14ac:dyDescent="0.25">
      <c r="A7188" t="s">
        <v>203</v>
      </c>
      <c r="B7188" t="s">
        <v>228</v>
      </c>
      <c r="C7188">
        <v>148</v>
      </c>
      <c r="D7188" t="s">
        <v>199</v>
      </c>
      <c r="E7188">
        <v>2628</v>
      </c>
      <c r="F7188" s="1">
        <v>0.18210000000000001</v>
      </c>
      <c r="G7188" s="1">
        <v>0.2636</v>
      </c>
      <c r="H7188" s="1">
        <v>0.25740000000000002</v>
      </c>
      <c r="I7188" s="1">
        <v>8.9399999999999993E-2</v>
      </c>
      <c r="J7188" s="1">
        <v>8.9999999999999998E-4</v>
      </c>
      <c r="K7188" s="1">
        <v>0.1724</v>
      </c>
      <c r="L7188" s="1">
        <v>0.2324</v>
      </c>
      <c r="M7188" s="1">
        <v>1.0699999999999999E-2</v>
      </c>
      <c r="N7188" s="1">
        <v>1.38E-2</v>
      </c>
      <c r="O7188" s="1">
        <v>0.3624</v>
      </c>
      <c r="P7188" s="1">
        <v>0.1802</v>
      </c>
      <c r="Q7188" s="1">
        <v>5.1200000000000002E-2</v>
      </c>
    </row>
    <row r="7189" spans="1:17" x14ac:dyDescent="0.25">
      <c r="A7189" t="s">
        <v>203</v>
      </c>
      <c r="B7189" t="s">
        <v>229</v>
      </c>
      <c r="C7189">
        <v>346</v>
      </c>
      <c r="D7189" t="s">
        <v>200</v>
      </c>
      <c r="E7189">
        <v>2628</v>
      </c>
      <c r="F7189" s="1">
        <v>0.28129999999999999</v>
      </c>
      <c r="G7189" s="1">
        <v>0.25080000000000002</v>
      </c>
      <c r="H7189" s="1">
        <v>0.2366</v>
      </c>
      <c r="I7189" s="1">
        <v>0.189</v>
      </c>
      <c r="J7189" s="1">
        <v>0.1066</v>
      </c>
      <c r="K7189" s="1">
        <v>0.27429999999999999</v>
      </c>
      <c r="L7189" s="1">
        <v>0.16889999999999999</v>
      </c>
      <c r="M7189" s="1">
        <v>3.5000000000000003E-2</v>
      </c>
      <c r="N7189" s="1">
        <v>1.5E-3</v>
      </c>
      <c r="O7189" s="1">
        <v>0.41760000000000003</v>
      </c>
      <c r="P7189" s="1">
        <v>0.19539999999999999</v>
      </c>
      <c r="Q7189" s="1">
        <v>0.14280000000000001</v>
      </c>
    </row>
    <row r="7190" spans="1:17" x14ac:dyDescent="0.25">
      <c r="A7190" t="s">
        <v>203</v>
      </c>
      <c r="B7190" t="s">
        <v>228</v>
      </c>
      <c r="C7190">
        <v>154</v>
      </c>
      <c r="D7190" t="s">
        <v>200</v>
      </c>
      <c r="E7190">
        <v>2628</v>
      </c>
      <c r="F7190" s="1">
        <v>0.2442</v>
      </c>
      <c r="G7190" s="1">
        <v>0.1401</v>
      </c>
      <c r="H7190" s="1">
        <v>0.28810000000000002</v>
      </c>
      <c r="I7190" s="1">
        <v>0.20399999999999999</v>
      </c>
      <c r="J7190" s="1">
        <v>1.09E-2</v>
      </c>
      <c r="K7190" s="1">
        <v>0.2024</v>
      </c>
      <c r="L7190" s="1">
        <v>0.22159999999999999</v>
      </c>
      <c r="M7190" s="1">
        <v>4.6899999999999997E-2</v>
      </c>
      <c r="N7190" s="1">
        <v>9.4999999999999998E-3</v>
      </c>
      <c r="O7190" s="1">
        <v>0.49180000000000001</v>
      </c>
      <c r="P7190" s="1">
        <v>0.1198</v>
      </c>
      <c r="Q7190" s="1">
        <v>3.6900000000000002E-2</v>
      </c>
    </row>
    <row r="7191" spans="1:17" x14ac:dyDescent="0.25">
      <c r="A7191" t="s">
        <v>203</v>
      </c>
      <c r="B7191" t="s">
        <v>229</v>
      </c>
      <c r="C7191">
        <v>137</v>
      </c>
      <c r="D7191" t="s">
        <v>201</v>
      </c>
      <c r="E7191">
        <v>2628</v>
      </c>
      <c r="F7191" s="1">
        <v>0.33350000000000002</v>
      </c>
      <c r="G7191" s="1">
        <v>0.18579999999999999</v>
      </c>
      <c r="H7191" s="1">
        <v>0.40039999999999998</v>
      </c>
      <c r="I7191" s="1">
        <v>0.1588</v>
      </c>
      <c r="J7191" s="1">
        <v>1.2200000000000001E-2</v>
      </c>
      <c r="K7191" s="1">
        <v>0.2356</v>
      </c>
      <c r="L7191" s="1">
        <v>0.1333</v>
      </c>
      <c r="M7191" s="1">
        <v>1.5E-3</v>
      </c>
      <c r="O7191" s="1">
        <v>0.47</v>
      </c>
      <c r="P7191" s="1">
        <v>0.18490000000000001</v>
      </c>
      <c r="Q7191" s="1">
        <v>5.7799999999999997E-2</v>
      </c>
    </row>
    <row r="7192" spans="1:17" x14ac:dyDescent="0.25">
      <c r="A7192" t="s">
        <v>203</v>
      </c>
      <c r="B7192" t="s">
        <v>228</v>
      </c>
      <c r="C7192">
        <v>177</v>
      </c>
      <c r="D7192" t="s">
        <v>201</v>
      </c>
      <c r="E7192">
        <v>2628</v>
      </c>
      <c r="F7192" s="1">
        <v>0.28920000000000001</v>
      </c>
      <c r="G7192" s="1">
        <v>0.1888</v>
      </c>
      <c r="H7192" s="1">
        <v>0.42320000000000002</v>
      </c>
      <c r="I7192" s="1">
        <v>0.26440000000000002</v>
      </c>
      <c r="J7192" s="1">
        <v>1.8700000000000001E-2</v>
      </c>
      <c r="K7192" s="1">
        <v>0.25840000000000002</v>
      </c>
      <c r="L7192" s="1">
        <v>6.3700000000000007E-2</v>
      </c>
      <c r="M7192" s="1">
        <v>1.6000000000000001E-3</v>
      </c>
      <c r="O7192" s="1">
        <v>0.6159</v>
      </c>
      <c r="P7192" s="1">
        <v>0.315</v>
      </c>
      <c r="Q7192" s="1">
        <v>7.2599999999999998E-2</v>
      </c>
    </row>
    <row r="7193" spans="1:17" x14ac:dyDescent="0.25">
      <c r="A7193" t="s">
        <v>203</v>
      </c>
      <c r="B7193" t="s">
        <v>228</v>
      </c>
      <c r="C7193">
        <v>34</v>
      </c>
      <c r="D7193" t="s">
        <v>202</v>
      </c>
      <c r="E7193">
        <v>2628</v>
      </c>
      <c r="F7193" s="1">
        <v>0.2177</v>
      </c>
      <c r="G7193" s="1">
        <v>0.19109999999999999</v>
      </c>
      <c r="H7193" s="1">
        <v>0.46949999999999997</v>
      </c>
      <c r="I7193" s="1">
        <v>0.19120000000000001</v>
      </c>
      <c r="K7193" s="1">
        <v>0.24909999999999999</v>
      </c>
      <c r="L7193" s="1">
        <v>0.1739</v>
      </c>
      <c r="O7193" s="1">
        <v>0.4778</v>
      </c>
      <c r="P7193" s="1">
        <v>0.153</v>
      </c>
    </row>
    <row r="7194" spans="1:17" x14ac:dyDescent="0.25">
      <c r="A7194" t="s">
        <v>203</v>
      </c>
      <c r="B7194" t="s">
        <v>229</v>
      </c>
      <c r="C7194">
        <v>56</v>
      </c>
      <c r="D7194" t="s">
        <v>202</v>
      </c>
      <c r="E7194">
        <v>2628</v>
      </c>
      <c r="F7194" s="1">
        <v>0.129</v>
      </c>
      <c r="G7194" s="1">
        <v>0.2671</v>
      </c>
      <c r="H7194" s="1">
        <v>0.112</v>
      </c>
      <c r="I7194" s="1">
        <v>0.11509999999999999</v>
      </c>
      <c r="J7194" s="1">
        <v>4.4499999999999998E-2</v>
      </c>
      <c r="K7194" s="1">
        <v>0.29870000000000002</v>
      </c>
      <c r="L7194" s="1">
        <v>5.8799999999999998E-2</v>
      </c>
      <c r="O7194" s="1">
        <v>0.3831</v>
      </c>
      <c r="P7194" s="1">
        <v>0.13719999999999999</v>
      </c>
      <c r="Q7194" s="1">
        <v>6.8999999999999999E-3</v>
      </c>
    </row>
    <row r="7195" spans="1:17" x14ac:dyDescent="0.25">
      <c r="A7195" t="s">
        <v>204</v>
      </c>
      <c r="B7195" t="s">
        <v>204</v>
      </c>
      <c r="C7195">
        <v>2628</v>
      </c>
      <c r="D7195" t="s">
        <v>204</v>
      </c>
      <c r="E7195">
        <v>2628</v>
      </c>
      <c r="F7195" s="1">
        <v>0.21579999999999999</v>
      </c>
      <c r="G7195" s="1">
        <v>0.29580000000000001</v>
      </c>
      <c r="H7195" s="1">
        <v>0.2472</v>
      </c>
      <c r="I7195" s="1">
        <v>0.14180000000000001</v>
      </c>
      <c r="J7195" s="1">
        <v>3.6799999999999999E-2</v>
      </c>
      <c r="K7195" s="1">
        <v>0.2319</v>
      </c>
      <c r="L7195" s="1">
        <v>0.12470000000000001</v>
      </c>
      <c r="M7195" s="1">
        <v>1.5699999999999999E-2</v>
      </c>
      <c r="N7195" s="1">
        <v>1.4E-3</v>
      </c>
      <c r="O7195" s="1">
        <v>0.40489999999999998</v>
      </c>
      <c r="P7195" s="1">
        <v>0.13389999999999999</v>
      </c>
      <c r="Q7195" s="1">
        <v>6.4000000000000001E-2</v>
      </c>
    </row>
    <row r="7197" spans="1:17" x14ac:dyDescent="0.25">
      <c r="A7197" t="s">
        <v>1351</v>
      </c>
    </row>
    <row r="7198" spans="1:17" x14ac:dyDescent="0.25">
      <c r="A7198" t="s">
        <v>189</v>
      </c>
      <c r="B7198" t="s">
        <v>190</v>
      </c>
      <c r="C7198" t="s">
        <v>206</v>
      </c>
      <c r="D7198" t="s">
        <v>754</v>
      </c>
      <c r="E7198" t="s">
        <v>1352</v>
      </c>
      <c r="F7198" t="s">
        <v>1353</v>
      </c>
      <c r="G7198" t="s">
        <v>1354</v>
      </c>
      <c r="H7198" t="s">
        <v>1355</v>
      </c>
      <c r="I7198" t="s">
        <v>1356</v>
      </c>
      <c r="J7198" t="s">
        <v>765</v>
      </c>
      <c r="K7198" t="s">
        <v>195</v>
      </c>
      <c r="L7198" t="s">
        <v>196</v>
      </c>
    </row>
    <row r="7199" spans="1:17" x14ac:dyDescent="0.25">
      <c r="A7199" t="s">
        <v>197</v>
      </c>
      <c r="B7199" t="s">
        <v>198</v>
      </c>
      <c r="C7199" t="s">
        <v>228</v>
      </c>
      <c r="D7199" t="s">
        <v>1357</v>
      </c>
      <c r="E7199" s="1">
        <v>0.53569999999999995</v>
      </c>
      <c r="F7199" s="1">
        <v>0.7571</v>
      </c>
      <c r="G7199" s="1">
        <v>0.87380000000000002</v>
      </c>
      <c r="H7199" s="1">
        <v>0.95709999999999995</v>
      </c>
      <c r="I7199" s="1">
        <v>0.90790000000000004</v>
      </c>
      <c r="J7199">
        <v>71</v>
      </c>
      <c r="K7199">
        <v>32</v>
      </c>
      <c r="L7199">
        <v>2371</v>
      </c>
    </row>
    <row r="7200" spans="1:17" x14ac:dyDescent="0.25">
      <c r="A7200" t="s">
        <v>197</v>
      </c>
      <c r="B7200" t="s">
        <v>198</v>
      </c>
      <c r="C7200" t="s">
        <v>228</v>
      </c>
      <c r="D7200" t="s">
        <v>1358</v>
      </c>
      <c r="E7200" s="1">
        <v>0.46429999999999999</v>
      </c>
      <c r="F7200" s="1">
        <v>0.2429</v>
      </c>
      <c r="G7200" s="1">
        <v>0.12620000000000001</v>
      </c>
      <c r="H7200" s="1">
        <v>4.2900000000000001E-2</v>
      </c>
      <c r="I7200" s="1">
        <v>9.2100000000000001E-2</v>
      </c>
      <c r="J7200">
        <v>71</v>
      </c>
      <c r="K7200">
        <v>32</v>
      </c>
      <c r="L7200">
        <v>2371</v>
      </c>
    </row>
    <row r="7201" spans="1:12" x14ac:dyDescent="0.25">
      <c r="A7201" t="s">
        <v>197</v>
      </c>
      <c r="B7201" t="s">
        <v>198</v>
      </c>
      <c r="C7201" t="s">
        <v>229</v>
      </c>
      <c r="D7201" t="s">
        <v>1357</v>
      </c>
      <c r="E7201" s="1">
        <v>0.47010000000000002</v>
      </c>
      <c r="F7201" s="1">
        <v>0.90739999999999998</v>
      </c>
      <c r="G7201" s="1">
        <v>0.75770000000000004</v>
      </c>
      <c r="H7201" s="1">
        <v>0.85040000000000004</v>
      </c>
      <c r="I7201" s="1">
        <v>0.82930000000000004</v>
      </c>
      <c r="J7201">
        <v>84</v>
      </c>
      <c r="K7201">
        <v>43</v>
      </c>
      <c r="L7201">
        <v>2371</v>
      </c>
    </row>
    <row r="7202" spans="1:12" x14ac:dyDescent="0.25">
      <c r="A7202" t="s">
        <v>197</v>
      </c>
      <c r="B7202" t="s">
        <v>198</v>
      </c>
      <c r="C7202" t="s">
        <v>229</v>
      </c>
      <c r="D7202" t="s">
        <v>1358</v>
      </c>
      <c r="E7202" s="1">
        <v>0.52990000000000004</v>
      </c>
      <c r="F7202" s="1">
        <v>9.2600000000000002E-2</v>
      </c>
      <c r="G7202" s="1">
        <v>0.24229999999999999</v>
      </c>
      <c r="H7202" s="1">
        <v>0.14960000000000001</v>
      </c>
      <c r="I7202" s="1">
        <v>0.17069999999999999</v>
      </c>
      <c r="J7202">
        <v>84</v>
      </c>
      <c r="K7202">
        <v>43</v>
      </c>
      <c r="L7202">
        <v>2371</v>
      </c>
    </row>
    <row r="7203" spans="1:12" x14ac:dyDescent="0.25">
      <c r="A7203" t="s">
        <v>199</v>
      </c>
      <c r="B7203" t="s">
        <v>198</v>
      </c>
      <c r="C7203" t="s">
        <v>228</v>
      </c>
      <c r="D7203" t="s">
        <v>1357</v>
      </c>
      <c r="E7203" s="1">
        <v>0.63380000000000003</v>
      </c>
      <c r="F7203" s="1">
        <v>0.78800000000000003</v>
      </c>
      <c r="G7203" s="1">
        <v>0.83750000000000002</v>
      </c>
      <c r="H7203" s="1">
        <v>0.86209999999999998</v>
      </c>
      <c r="I7203" s="1">
        <v>0.85980000000000001</v>
      </c>
      <c r="J7203">
        <v>80</v>
      </c>
      <c r="K7203">
        <v>134</v>
      </c>
      <c r="L7203">
        <v>2371</v>
      </c>
    </row>
    <row r="7204" spans="1:12" x14ac:dyDescent="0.25">
      <c r="A7204" t="s">
        <v>199</v>
      </c>
      <c r="B7204" t="s">
        <v>198</v>
      </c>
      <c r="C7204" t="s">
        <v>228</v>
      </c>
      <c r="D7204" t="s">
        <v>1358</v>
      </c>
      <c r="E7204" s="1">
        <v>0.36620000000000003</v>
      </c>
      <c r="F7204" s="1">
        <v>0.21199999999999999</v>
      </c>
      <c r="G7204" s="1">
        <v>0.16250000000000001</v>
      </c>
      <c r="H7204" s="1">
        <v>0.13789999999999999</v>
      </c>
      <c r="I7204" s="1">
        <v>0.14019999999999999</v>
      </c>
      <c r="J7204">
        <v>80</v>
      </c>
      <c r="K7204">
        <v>134</v>
      </c>
      <c r="L7204">
        <v>2371</v>
      </c>
    </row>
    <row r="7205" spans="1:12" x14ac:dyDescent="0.25">
      <c r="A7205" t="s">
        <v>199</v>
      </c>
      <c r="B7205" t="s">
        <v>198</v>
      </c>
      <c r="C7205" t="s">
        <v>229</v>
      </c>
      <c r="D7205" t="s">
        <v>1357</v>
      </c>
      <c r="E7205" s="1">
        <v>0.40460000000000002</v>
      </c>
      <c r="F7205" s="1">
        <v>0.82940000000000003</v>
      </c>
      <c r="G7205" s="1">
        <v>0.8397</v>
      </c>
      <c r="H7205" s="1">
        <v>0.91269999999999996</v>
      </c>
      <c r="I7205" s="1">
        <v>0.92449999999999999</v>
      </c>
      <c r="J7205">
        <v>223</v>
      </c>
      <c r="K7205">
        <v>189</v>
      </c>
      <c r="L7205">
        <v>2371</v>
      </c>
    </row>
    <row r="7206" spans="1:12" x14ac:dyDescent="0.25">
      <c r="A7206" t="s">
        <v>199</v>
      </c>
      <c r="B7206" t="s">
        <v>198</v>
      </c>
      <c r="C7206" t="s">
        <v>229</v>
      </c>
      <c r="D7206" t="s">
        <v>1358</v>
      </c>
      <c r="E7206" s="1">
        <v>0.59540000000000004</v>
      </c>
      <c r="F7206" s="1">
        <v>0.1706</v>
      </c>
      <c r="G7206" s="1">
        <v>0.1603</v>
      </c>
      <c r="H7206" s="1">
        <v>8.7300000000000003E-2</v>
      </c>
      <c r="I7206" s="1">
        <v>7.5499999999999998E-2</v>
      </c>
      <c r="J7206">
        <v>223</v>
      </c>
      <c r="K7206">
        <v>189</v>
      </c>
      <c r="L7206">
        <v>2371</v>
      </c>
    </row>
    <row r="7207" spans="1:12" x14ac:dyDescent="0.25">
      <c r="A7207" t="s">
        <v>200</v>
      </c>
      <c r="B7207" t="s">
        <v>198</v>
      </c>
      <c r="C7207" t="s">
        <v>228</v>
      </c>
      <c r="D7207" t="s">
        <v>1357</v>
      </c>
      <c r="E7207" s="1">
        <v>0.53320000000000001</v>
      </c>
      <c r="F7207" s="1">
        <v>0.84619999999999995</v>
      </c>
      <c r="G7207" s="1">
        <v>0.8639</v>
      </c>
      <c r="H7207" s="1">
        <v>0.93140000000000001</v>
      </c>
      <c r="I7207" s="1">
        <v>0.89200000000000002</v>
      </c>
      <c r="J7207">
        <v>65</v>
      </c>
      <c r="K7207">
        <v>99</v>
      </c>
      <c r="L7207">
        <v>2371</v>
      </c>
    </row>
    <row r="7208" spans="1:12" x14ac:dyDescent="0.25">
      <c r="A7208" t="s">
        <v>200</v>
      </c>
      <c r="B7208" t="s">
        <v>198</v>
      </c>
      <c r="C7208" t="s">
        <v>228</v>
      </c>
      <c r="D7208" t="s">
        <v>1358</v>
      </c>
      <c r="E7208" s="1">
        <v>0.46679999999999999</v>
      </c>
      <c r="F7208" s="1">
        <v>0.15379999999999999</v>
      </c>
      <c r="G7208" s="1">
        <v>0.1361</v>
      </c>
      <c r="H7208" s="1">
        <v>6.8599999999999994E-2</v>
      </c>
      <c r="I7208" s="1">
        <v>0.108</v>
      </c>
      <c r="J7208">
        <v>65</v>
      </c>
      <c r="K7208">
        <v>99</v>
      </c>
      <c r="L7208">
        <v>2371</v>
      </c>
    </row>
    <row r="7209" spans="1:12" x14ac:dyDescent="0.25">
      <c r="A7209" t="s">
        <v>200</v>
      </c>
      <c r="B7209" t="s">
        <v>198</v>
      </c>
      <c r="C7209" t="s">
        <v>229</v>
      </c>
      <c r="D7209" t="s">
        <v>1357</v>
      </c>
      <c r="E7209" s="1">
        <v>0.53790000000000004</v>
      </c>
      <c r="F7209" s="1">
        <v>0.84919999999999995</v>
      </c>
      <c r="G7209" s="1">
        <v>0.85050000000000003</v>
      </c>
      <c r="H7209" s="1">
        <v>0.85799999999999998</v>
      </c>
      <c r="I7209" s="1">
        <v>0.88770000000000004</v>
      </c>
      <c r="J7209">
        <v>235</v>
      </c>
      <c r="K7209">
        <v>250</v>
      </c>
      <c r="L7209">
        <v>2371</v>
      </c>
    </row>
    <row r="7210" spans="1:12" x14ac:dyDescent="0.25">
      <c r="A7210" t="s">
        <v>200</v>
      </c>
      <c r="B7210" t="s">
        <v>198</v>
      </c>
      <c r="C7210" t="s">
        <v>229</v>
      </c>
      <c r="D7210" t="s">
        <v>1358</v>
      </c>
      <c r="E7210" s="1">
        <v>0.46210000000000001</v>
      </c>
      <c r="F7210" s="1">
        <v>0.15079999999999999</v>
      </c>
      <c r="G7210" s="1">
        <v>0.14949999999999999</v>
      </c>
      <c r="H7210" s="1">
        <v>0.14199999999999999</v>
      </c>
      <c r="I7210" s="1">
        <v>0.1123</v>
      </c>
      <c r="J7210">
        <v>235</v>
      </c>
      <c r="K7210">
        <v>250</v>
      </c>
      <c r="L7210">
        <v>2371</v>
      </c>
    </row>
    <row r="7211" spans="1:12" x14ac:dyDescent="0.25">
      <c r="A7211" t="s">
        <v>201</v>
      </c>
      <c r="B7211" t="s">
        <v>198</v>
      </c>
      <c r="C7211" t="s">
        <v>228</v>
      </c>
      <c r="D7211" t="s">
        <v>1357</v>
      </c>
      <c r="E7211" s="1">
        <v>0.35</v>
      </c>
      <c r="F7211" s="1">
        <v>0.73429999999999995</v>
      </c>
      <c r="G7211" s="1">
        <v>0.87409999999999999</v>
      </c>
      <c r="H7211" s="1">
        <v>0.84060000000000001</v>
      </c>
      <c r="I7211" s="1">
        <v>0.96350000000000002</v>
      </c>
      <c r="J7211">
        <v>24</v>
      </c>
      <c r="K7211">
        <v>86</v>
      </c>
      <c r="L7211">
        <v>2371</v>
      </c>
    </row>
    <row r="7212" spans="1:12" x14ac:dyDescent="0.25">
      <c r="A7212" t="s">
        <v>201</v>
      </c>
      <c r="B7212" t="s">
        <v>198</v>
      </c>
      <c r="C7212" t="s">
        <v>228</v>
      </c>
      <c r="D7212" t="s">
        <v>1358</v>
      </c>
      <c r="E7212" s="1">
        <v>0.65</v>
      </c>
      <c r="F7212" s="1">
        <v>0.26569999999999999</v>
      </c>
      <c r="G7212" s="1">
        <v>0.12590000000000001</v>
      </c>
      <c r="H7212" s="1">
        <v>0.15939999999999999</v>
      </c>
      <c r="I7212" s="1">
        <v>3.6499999999999998E-2</v>
      </c>
      <c r="J7212">
        <v>24</v>
      </c>
      <c r="K7212">
        <v>86</v>
      </c>
      <c r="L7212">
        <v>2371</v>
      </c>
    </row>
    <row r="7213" spans="1:12" x14ac:dyDescent="0.25">
      <c r="A7213" t="s">
        <v>201</v>
      </c>
      <c r="B7213" t="s">
        <v>198</v>
      </c>
      <c r="C7213" t="s">
        <v>229</v>
      </c>
      <c r="D7213" t="s">
        <v>1357</v>
      </c>
      <c r="E7213" s="1">
        <v>0.41299999999999998</v>
      </c>
      <c r="F7213" s="1">
        <v>0.80679999999999996</v>
      </c>
      <c r="G7213" s="1">
        <v>0.78069999999999995</v>
      </c>
      <c r="H7213" s="1">
        <v>0.72519999999999996</v>
      </c>
      <c r="I7213" s="1">
        <v>0.77390000000000003</v>
      </c>
      <c r="J7213">
        <v>89</v>
      </c>
      <c r="K7213">
        <v>144</v>
      </c>
      <c r="L7213">
        <v>2371</v>
      </c>
    </row>
    <row r="7214" spans="1:12" x14ac:dyDescent="0.25">
      <c r="A7214" t="s">
        <v>201</v>
      </c>
      <c r="B7214" t="s">
        <v>198</v>
      </c>
      <c r="C7214" t="s">
        <v>229</v>
      </c>
      <c r="D7214" t="s">
        <v>1358</v>
      </c>
      <c r="E7214" s="1">
        <v>0.58699999999999997</v>
      </c>
      <c r="F7214" s="1">
        <v>0.19320000000000001</v>
      </c>
      <c r="G7214" s="1">
        <v>0.21929999999999999</v>
      </c>
      <c r="H7214" s="1">
        <v>0.27479999999999999</v>
      </c>
      <c r="I7214" s="1">
        <v>0.2261</v>
      </c>
      <c r="J7214">
        <v>89</v>
      </c>
      <c r="K7214">
        <v>144</v>
      </c>
      <c r="L7214">
        <v>2371</v>
      </c>
    </row>
    <row r="7215" spans="1:12" s="29" customFormat="1" x14ac:dyDescent="0.25">
      <c r="A7215" s="29" t="s">
        <v>202</v>
      </c>
      <c r="B7215" s="29" t="s">
        <v>198</v>
      </c>
      <c r="C7215" s="29" t="s">
        <v>228</v>
      </c>
      <c r="D7215" s="29" t="s">
        <v>1357</v>
      </c>
      <c r="E7215" s="30">
        <v>0.30599999999999999</v>
      </c>
      <c r="F7215" s="30">
        <v>0.33900000000000002</v>
      </c>
      <c r="G7215" s="30">
        <v>0.54900000000000004</v>
      </c>
      <c r="H7215" s="30">
        <v>0.93510000000000004</v>
      </c>
      <c r="I7215" s="30">
        <v>0.64190000000000003</v>
      </c>
      <c r="J7215" s="29">
        <v>52</v>
      </c>
      <c r="K7215" s="29">
        <v>27</v>
      </c>
      <c r="L7215" s="29">
        <v>2371</v>
      </c>
    </row>
    <row r="7216" spans="1:12" s="29" customFormat="1" x14ac:dyDescent="0.25">
      <c r="A7216" s="29" t="s">
        <v>202</v>
      </c>
      <c r="B7216" s="29" t="s">
        <v>198</v>
      </c>
      <c r="C7216" s="29" t="s">
        <v>228</v>
      </c>
      <c r="D7216" s="29" t="s">
        <v>1358</v>
      </c>
      <c r="E7216" s="30">
        <v>0.69399999999999995</v>
      </c>
      <c r="F7216" s="30">
        <v>0.66100000000000003</v>
      </c>
      <c r="G7216" s="30">
        <v>0.45100000000000001</v>
      </c>
      <c r="H7216" s="30">
        <v>6.4899999999999999E-2</v>
      </c>
      <c r="I7216" s="30">
        <v>0.35809999999999997</v>
      </c>
      <c r="J7216" s="29">
        <v>52</v>
      </c>
      <c r="K7216" s="29">
        <v>27</v>
      </c>
      <c r="L7216" s="29">
        <v>2371</v>
      </c>
    </row>
    <row r="7217" spans="1:12" x14ac:dyDescent="0.25">
      <c r="A7217" t="s">
        <v>202</v>
      </c>
      <c r="B7217" t="s">
        <v>198</v>
      </c>
      <c r="C7217" t="s">
        <v>229</v>
      </c>
      <c r="D7217" t="s">
        <v>1357</v>
      </c>
      <c r="E7217" s="1">
        <v>0.51739999999999997</v>
      </c>
      <c r="F7217" s="1">
        <v>0.85960000000000003</v>
      </c>
      <c r="G7217" s="1">
        <v>0.89710000000000001</v>
      </c>
      <c r="H7217" s="1">
        <v>0.90620000000000001</v>
      </c>
      <c r="I7217" s="1">
        <v>0.91010000000000002</v>
      </c>
      <c r="J7217">
        <v>172</v>
      </c>
      <c r="K7217">
        <v>62</v>
      </c>
      <c r="L7217">
        <v>2371</v>
      </c>
    </row>
    <row r="7218" spans="1:12" x14ac:dyDescent="0.25">
      <c r="A7218" t="s">
        <v>202</v>
      </c>
      <c r="B7218" t="s">
        <v>198</v>
      </c>
      <c r="C7218" t="s">
        <v>229</v>
      </c>
      <c r="D7218" t="s">
        <v>1358</v>
      </c>
      <c r="E7218" s="1">
        <v>0.48259999999999997</v>
      </c>
      <c r="F7218" s="1">
        <v>0.1404</v>
      </c>
      <c r="G7218" s="1">
        <v>0.10290000000000001</v>
      </c>
      <c r="H7218" s="1">
        <v>9.3799999999999994E-2</v>
      </c>
      <c r="I7218" s="1">
        <v>8.9899999999999994E-2</v>
      </c>
      <c r="J7218">
        <v>172</v>
      </c>
      <c r="K7218">
        <v>62</v>
      </c>
      <c r="L7218">
        <v>2371</v>
      </c>
    </row>
    <row r="7219" spans="1:12" x14ac:dyDescent="0.25">
      <c r="A7219" t="s">
        <v>199</v>
      </c>
      <c r="B7219" t="s">
        <v>203</v>
      </c>
      <c r="C7219" t="s">
        <v>228</v>
      </c>
      <c r="D7219" t="s">
        <v>1357</v>
      </c>
      <c r="E7219" s="1">
        <v>0.63180000000000003</v>
      </c>
      <c r="F7219" s="1">
        <v>0.86140000000000005</v>
      </c>
      <c r="G7219" s="1">
        <v>0.82420000000000004</v>
      </c>
      <c r="H7219" s="1">
        <v>0.94499999999999995</v>
      </c>
      <c r="I7219" s="1">
        <v>0.82440000000000002</v>
      </c>
      <c r="J7219">
        <v>34</v>
      </c>
      <c r="K7219">
        <v>139</v>
      </c>
      <c r="L7219">
        <v>2371</v>
      </c>
    </row>
    <row r="7220" spans="1:12" x14ac:dyDescent="0.25">
      <c r="A7220" t="s">
        <v>199</v>
      </c>
      <c r="B7220" t="s">
        <v>203</v>
      </c>
      <c r="C7220" t="s">
        <v>228</v>
      </c>
      <c r="D7220" t="s">
        <v>1358</v>
      </c>
      <c r="E7220" s="1">
        <v>0.36820000000000003</v>
      </c>
      <c r="F7220" s="1">
        <v>0.1386</v>
      </c>
      <c r="G7220" s="1">
        <v>0.17580000000000001</v>
      </c>
      <c r="H7220" s="1">
        <v>5.5E-2</v>
      </c>
      <c r="I7220" s="1">
        <v>0.17560000000000001</v>
      </c>
      <c r="J7220">
        <v>34</v>
      </c>
      <c r="K7220">
        <v>139</v>
      </c>
      <c r="L7220">
        <v>2371</v>
      </c>
    </row>
    <row r="7221" spans="1:12" x14ac:dyDescent="0.25">
      <c r="A7221" t="s">
        <v>199</v>
      </c>
      <c r="B7221" t="s">
        <v>203</v>
      </c>
      <c r="C7221" t="s">
        <v>229</v>
      </c>
      <c r="D7221" t="s">
        <v>1357</v>
      </c>
      <c r="E7221" s="1">
        <v>0.66849999999999998</v>
      </c>
      <c r="F7221" s="1">
        <v>0.85050000000000003</v>
      </c>
      <c r="G7221" s="1">
        <v>0.91080000000000005</v>
      </c>
      <c r="H7221" s="1">
        <v>0.95820000000000005</v>
      </c>
      <c r="I7221" s="1">
        <v>0.94059999999999999</v>
      </c>
      <c r="J7221">
        <v>293</v>
      </c>
      <c r="K7221">
        <v>325</v>
      </c>
      <c r="L7221">
        <v>2371</v>
      </c>
    </row>
    <row r="7222" spans="1:12" x14ac:dyDescent="0.25">
      <c r="A7222" t="s">
        <v>199</v>
      </c>
      <c r="B7222" t="s">
        <v>203</v>
      </c>
      <c r="C7222" t="s">
        <v>229</v>
      </c>
      <c r="D7222" t="s">
        <v>1358</v>
      </c>
      <c r="E7222" s="1">
        <v>0.33150000000000002</v>
      </c>
      <c r="F7222" s="1">
        <v>0.14949999999999999</v>
      </c>
      <c r="G7222" s="1">
        <v>8.9200000000000002E-2</v>
      </c>
      <c r="H7222" s="1">
        <v>4.1799999999999997E-2</v>
      </c>
      <c r="I7222" s="1">
        <v>5.9400000000000001E-2</v>
      </c>
      <c r="J7222">
        <v>293</v>
      </c>
      <c r="K7222">
        <v>325</v>
      </c>
      <c r="L7222">
        <v>2371</v>
      </c>
    </row>
    <row r="7223" spans="1:12" x14ac:dyDescent="0.25">
      <c r="A7223" t="s">
        <v>200</v>
      </c>
      <c r="B7223" t="s">
        <v>203</v>
      </c>
      <c r="C7223" t="s">
        <v>228</v>
      </c>
      <c r="D7223" t="s">
        <v>1357</v>
      </c>
      <c r="E7223" s="1">
        <v>0.85460000000000003</v>
      </c>
      <c r="F7223" s="1">
        <v>0.95520000000000005</v>
      </c>
      <c r="G7223" s="1">
        <v>0.96740000000000004</v>
      </c>
      <c r="H7223" s="1">
        <v>0.97440000000000004</v>
      </c>
      <c r="I7223" s="1">
        <v>0.97840000000000005</v>
      </c>
      <c r="J7223">
        <v>123</v>
      </c>
      <c r="K7223">
        <v>126</v>
      </c>
      <c r="L7223">
        <v>2371</v>
      </c>
    </row>
    <row r="7224" spans="1:12" x14ac:dyDescent="0.25">
      <c r="A7224" t="s">
        <v>200</v>
      </c>
      <c r="B7224" t="s">
        <v>203</v>
      </c>
      <c r="C7224" t="s">
        <v>228</v>
      </c>
      <c r="D7224" t="s">
        <v>1358</v>
      </c>
      <c r="E7224" s="1">
        <v>0.1454</v>
      </c>
      <c r="F7224" s="1">
        <v>4.48E-2</v>
      </c>
      <c r="G7224" s="1">
        <v>3.2599999999999997E-2</v>
      </c>
      <c r="H7224" s="1">
        <v>2.5600000000000001E-2</v>
      </c>
      <c r="I7224" s="1">
        <v>2.1600000000000001E-2</v>
      </c>
      <c r="J7224">
        <v>123</v>
      </c>
      <c r="K7224">
        <v>126</v>
      </c>
      <c r="L7224">
        <v>2371</v>
      </c>
    </row>
    <row r="7225" spans="1:12" x14ac:dyDescent="0.25">
      <c r="A7225" t="s">
        <v>200</v>
      </c>
      <c r="B7225" t="s">
        <v>203</v>
      </c>
      <c r="C7225" t="s">
        <v>229</v>
      </c>
      <c r="D7225" t="s">
        <v>1357</v>
      </c>
      <c r="E7225" s="1">
        <v>0.72270000000000001</v>
      </c>
      <c r="F7225" s="1">
        <v>0.94550000000000001</v>
      </c>
      <c r="G7225" s="1">
        <v>0.98809999999999998</v>
      </c>
      <c r="H7225" s="1">
        <v>0.9869</v>
      </c>
      <c r="I7225" s="1">
        <v>0.98750000000000004</v>
      </c>
      <c r="J7225">
        <v>579</v>
      </c>
      <c r="K7225">
        <v>315</v>
      </c>
      <c r="L7225">
        <v>2371</v>
      </c>
    </row>
    <row r="7226" spans="1:12" x14ac:dyDescent="0.25">
      <c r="A7226" t="s">
        <v>200</v>
      </c>
      <c r="B7226" t="s">
        <v>203</v>
      </c>
      <c r="C7226" t="s">
        <v>229</v>
      </c>
      <c r="D7226" t="s">
        <v>1358</v>
      </c>
      <c r="E7226" s="1">
        <v>0.27729999999999999</v>
      </c>
      <c r="F7226" s="1">
        <v>5.45E-2</v>
      </c>
      <c r="G7226" s="1">
        <v>1.1900000000000001E-2</v>
      </c>
      <c r="H7226" s="1">
        <v>1.3100000000000001E-2</v>
      </c>
      <c r="I7226" s="1">
        <v>1.2500000000000001E-2</v>
      </c>
      <c r="J7226">
        <v>579</v>
      </c>
      <c r="K7226">
        <v>315</v>
      </c>
      <c r="L7226">
        <v>2371</v>
      </c>
    </row>
    <row r="7227" spans="1:12" x14ac:dyDescent="0.25">
      <c r="A7227" t="s">
        <v>201</v>
      </c>
      <c r="B7227" t="s">
        <v>203</v>
      </c>
      <c r="C7227" t="s">
        <v>228</v>
      </c>
      <c r="D7227" t="s">
        <v>1357</v>
      </c>
      <c r="E7227" s="1">
        <v>0.59930000000000005</v>
      </c>
      <c r="F7227" s="1">
        <v>0.73180000000000001</v>
      </c>
      <c r="G7227" s="1">
        <v>0.86280000000000001</v>
      </c>
      <c r="H7227" s="1">
        <v>0.91820000000000002</v>
      </c>
      <c r="I7227" s="1">
        <v>0.93840000000000001</v>
      </c>
      <c r="J7227">
        <v>31</v>
      </c>
      <c r="K7227">
        <v>157</v>
      </c>
      <c r="L7227">
        <v>2371</v>
      </c>
    </row>
    <row r="7228" spans="1:12" x14ac:dyDescent="0.25">
      <c r="A7228" t="s">
        <v>201</v>
      </c>
      <c r="B7228" t="s">
        <v>203</v>
      </c>
      <c r="C7228" t="s">
        <v>228</v>
      </c>
      <c r="D7228" t="s">
        <v>1358</v>
      </c>
      <c r="E7228" s="1">
        <v>0.4007</v>
      </c>
      <c r="F7228" s="1">
        <v>0.26819999999999999</v>
      </c>
      <c r="G7228" s="1">
        <v>0.13719999999999999</v>
      </c>
      <c r="H7228" s="1">
        <v>8.1799999999999998E-2</v>
      </c>
      <c r="I7228" s="1">
        <v>6.1600000000000002E-2</v>
      </c>
      <c r="J7228">
        <v>31</v>
      </c>
      <c r="K7228">
        <v>157</v>
      </c>
      <c r="L7228">
        <v>2371</v>
      </c>
    </row>
    <row r="7229" spans="1:12" x14ac:dyDescent="0.25">
      <c r="A7229" t="s">
        <v>201</v>
      </c>
      <c r="B7229" t="s">
        <v>203</v>
      </c>
      <c r="C7229" t="s">
        <v>229</v>
      </c>
      <c r="D7229" t="s">
        <v>1357</v>
      </c>
      <c r="E7229" s="1">
        <v>0.6431</v>
      </c>
      <c r="F7229" s="1">
        <v>0.91</v>
      </c>
      <c r="G7229" s="1">
        <v>0.91269999999999996</v>
      </c>
      <c r="H7229" s="1">
        <v>0.92879999999999996</v>
      </c>
      <c r="I7229" s="1">
        <v>0.95389999999999997</v>
      </c>
      <c r="J7229">
        <v>102</v>
      </c>
      <c r="K7229">
        <v>126</v>
      </c>
      <c r="L7229">
        <v>2371</v>
      </c>
    </row>
    <row r="7230" spans="1:12" x14ac:dyDescent="0.25">
      <c r="A7230" t="s">
        <v>201</v>
      </c>
      <c r="B7230" t="s">
        <v>203</v>
      </c>
      <c r="C7230" t="s">
        <v>229</v>
      </c>
      <c r="D7230" t="s">
        <v>1358</v>
      </c>
      <c r="E7230" s="1">
        <v>0.3569</v>
      </c>
      <c r="F7230" s="1">
        <v>0.09</v>
      </c>
      <c r="G7230" s="1">
        <v>8.7300000000000003E-2</v>
      </c>
      <c r="H7230" s="1">
        <v>7.1199999999999999E-2</v>
      </c>
      <c r="I7230" s="1">
        <v>4.6100000000000002E-2</v>
      </c>
      <c r="J7230">
        <v>102</v>
      </c>
      <c r="K7230">
        <v>126</v>
      </c>
      <c r="L7230">
        <v>2371</v>
      </c>
    </row>
    <row r="7231" spans="1:12" x14ac:dyDescent="0.25">
      <c r="A7231" t="s">
        <v>202</v>
      </c>
      <c r="B7231" t="s">
        <v>203</v>
      </c>
      <c r="C7231" t="s">
        <v>228</v>
      </c>
      <c r="D7231" t="s">
        <v>1357</v>
      </c>
      <c r="E7231" s="1">
        <v>0.88919999999999999</v>
      </c>
      <c r="F7231" s="1">
        <v>0.9506</v>
      </c>
      <c r="G7231" s="1">
        <v>0.9395</v>
      </c>
      <c r="H7231" s="1">
        <v>0.96040000000000003</v>
      </c>
      <c r="I7231" s="1">
        <v>0.97360000000000002</v>
      </c>
      <c r="J7231">
        <v>34</v>
      </c>
      <c r="K7231">
        <v>31</v>
      </c>
      <c r="L7231">
        <v>2371</v>
      </c>
    </row>
    <row r="7232" spans="1:12" x14ac:dyDescent="0.25">
      <c r="A7232" t="s">
        <v>202</v>
      </c>
      <c r="B7232" t="s">
        <v>203</v>
      </c>
      <c r="C7232" t="s">
        <v>228</v>
      </c>
      <c r="D7232" t="s">
        <v>1358</v>
      </c>
      <c r="E7232" s="1">
        <v>0.1108</v>
      </c>
      <c r="F7232" s="1">
        <v>4.9399999999999999E-2</v>
      </c>
      <c r="G7232" s="1">
        <v>6.0499999999999998E-2</v>
      </c>
      <c r="H7232" s="1">
        <v>3.9600000000000003E-2</v>
      </c>
      <c r="I7232" s="1">
        <v>2.64E-2</v>
      </c>
      <c r="J7232">
        <v>34</v>
      </c>
      <c r="K7232">
        <v>31</v>
      </c>
      <c r="L7232">
        <v>2371</v>
      </c>
    </row>
    <row r="7233" spans="1:12" x14ac:dyDescent="0.25">
      <c r="A7233" t="s">
        <v>202</v>
      </c>
      <c r="B7233" t="s">
        <v>203</v>
      </c>
      <c r="C7233" t="s">
        <v>229</v>
      </c>
      <c r="D7233" t="s">
        <v>1357</v>
      </c>
      <c r="E7233" s="1">
        <v>0.75749999999999995</v>
      </c>
      <c r="F7233" s="1">
        <v>0.93789999999999996</v>
      </c>
      <c r="G7233" s="1">
        <v>0.97040000000000004</v>
      </c>
      <c r="H7233" s="1">
        <v>0.98480000000000001</v>
      </c>
      <c r="I7233" s="1">
        <v>0.97040000000000004</v>
      </c>
      <c r="J7233">
        <v>91</v>
      </c>
      <c r="K7233">
        <v>53</v>
      </c>
      <c r="L7233">
        <v>2371</v>
      </c>
    </row>
    <row r="7234" spans="1:12" x14ac:dyDescent="0.25">
      <c r="A7234" t="s">
        <v>202</v>
      </c>
      <c r="B7234" t="s">
        <v>203</v>
      </c>
      <c r="C7234" t="s">
        <v>229</v>
      </c>
      <c r="D7234" t="s">
        <v>1358</v>
      </c>
      <c r="E7234" s="1">
        <v>0.24249999999999999</v>
      </c>
      <c r="F7234" s="1">
        <v>6.2100000000000002E-2</v>
      </c>
      <c r="G7234" s="1">
        <v>2.9600000000000001E-2</v>
      </c>
      <c r="H7234" s="1">
        <v>1.52E-2</v>
      </c>
      <c r="I7234" s="1">
        <v>2.9600000000000001E-2</v>
      </c>
      <c r="J7234">
        <v>91</v>
      </c>
      <c r="K7234">
        <v>53</v>
      </c>
      <c r="L7234">
        <v>2371</v>
      </c>
    </row>
    <row r="7235" spans="1:12" x14ac:dyDescent="0.25">
      <c r="A7235" t="s">
        <v>204</v>
      </c>
      <c r="B7235" t="s">
        <v>204</v>
      </c>
      <c r="C7235" t="s">
        <v>204</v>
      </c>
      <c r="D7235" t="s">
        <v>1357</v>
      </c>
      <c r="E7235" s="1">
        <v>0.60950000000000004</v>
      </c>
      <c r="F7235" s="1">
        <v>0.86680000000000001</v>
      </c>
      <c r="G7235" s="1">
        <v>0.89659999999999995</v>
      </c>
      <c r="H7235" s="1">
        <v>0.93030000000000002</v>
      </c>
      <c r="I7235" s="1">
        <v>0.9254</v>
      </c>
      <c r="J7235">
        <v>2371</v>
      </c>
      <c r="K7235">
        <v>2371</v>
      </c>
      <c r="L7235">
        <v>2371</v>
      </c>
    </row>
    <row r="7236" spans="1:12" x14ac:dyDescent="0.25">
      <c r="A7236" t="s">
        <v>204</v>
      </c>
      <c r="B7236" t="s">
        <v>204</v>
      </c>
      <c r="C7236" t="s">
        <v>204</v>
      </c>
      <c r="D7236" t="s">
        <v>1358</v>
      </c>
      <c r="E7236" s="1">
        <v>0.39050000000000001</v>
      </c>
      <c r="F7236" s="1">
        <v>0.13320000000000001</v>
      </c>
      <c r="G7236" s="1">
        <v>0.10340000000000001</v>
      </c>
      <c r="H7236" s="1">
        <v>6.9699999999999998E-2</v>
      </c>
      <c r="I7236" s="1">
        <v>7.46E-2</v>
      </c>
      <c r="J7236">
        <v>2371</v>
      </c>
      <c r="K7236">
        <v>2371</v>
      </c>
      <c r="L7236">
        <v>2371</v>
      </c>
    </row>
    <row r="7238" spans="1:12" x14ac:dyDescent="0.25">
      <c r="A7238" t="s">
        <v>1359</v>
      </c>
    </row>
    <row r="7239" spans="1:12" x14ac:dyDescent="0.25">
      <c r="A7239" t="s">
        <v>189</v>
      </c>
      <c r="B7239" t="s">
        <v>190</v>
      </c>
      <c r="C7239" t="s">
        <v>206</v>
      </c>
      <c r="D7239" t="s">
        <v>754</v>
      </c>
      <c r="E7239" t="s">
        <v>1352</v>
      </c>
      <c r="F7239" t="s">
        <v>1353</v>
      </c>
      <c r="G7239" t="s">
        <v>1354</v>
      </c>
      <c r="H7239" t="s">
        <v>1355</v>
      </c>
      <c r="I7239" t="s">
        <v>1356</v>
      </c>
      <c r="J7239" t="s">
        <v>765</v>
      </c>
      <c r="K7239" t="s">
        <v>195</v>
      </c>
      <c r="L7239" t="s">
        <v>196</v>
      </c>
    </row>
    <row r="7240" spans="1:12" x14ac:dyDescent="0.25">
      <c r="A7240" t="s">
        <v>197</v>
      </c>
      <c r="B7240" t="s">
        <v>198</v>
      </c>
      <c r="C7240" t="s">
        <v>348</v>
      </c>
      <c r="D7240" t="s">
        <v>1357</v>
      </c>
      <c r="E7240" s="1">
        <v>0.50639999999999996</v>
      </c>
      <c r="F7240" s="1">
        <v>0.83589999999999998</v>
      </c>
      <c r="G7240" s="1">
        <v>0.81240000000000001</v>
      </c>
      <c r="H7240" s="1">
        <v>0.90559999999999996</v>
      </c>
      <c r="I7240" s="1">
        <v>0.87250000000000005</v>
      </c>
      <c r="J7240">
        <v>150</v>
      </c>
      <c r="K7240">
        <v>72</v>
      </c>
      <c r="L7240">
        <v>2371</v>
      </c>
    </row>
    <row r="7241" spans="1:12" x14ac:dyDescent="0.25">
      <c r="A7241" t="s">
        <v>197</v>
      </c>
      <c r="B7241" t="s">
        <v>198</v>
      </c>
      <c r="C7241" t="s">
        <v>348</v>
      </c>
      <c r="D7241" t="s">
        <v>1358</v>
      </c>
      <c r="E7241" s="1">
        <v>0.49359999999999998</v>
      </c>
      <c r="F7241" s="1">
        <v>0.1641</v>
      </c>
      <c r="G7241" s="1">
        <v>0.18759999999999999</v>
      </c>
      <c r="H7241" s="1">
        <v>9.4399999999999998E-2</v>
      </c>
      <c r="I7241" s="1">
        <v>0.1275</v>
      </c>
      <c r="J7241">
        <v>150</v>
      </c>
      <c r="K7241">
        <v>72</v>
      </c>
      <c r="L7241">
        <v>2371</v>
      </c>
    </row>
    <row r="7242" spans="1:12" s="29" customFormat="1" x14ac:dyDescent="0.25">
      <c r="A7242" s="29" t="s">
        <v>197</v>
      </c>
      <c r="B7242" s="29" t="s">
        <v>198</v>
      </c>
      <c r="C7242" s="29" t="s">
        <v>349</v>
      </c>
      <c r="D7242" s="29" t="s">
        <v>1357</v>
      </c>
      <c r="E7242" s="30">
        <v>0.33329999999999999</v>
      </c>
      <c r="F7242" s="30">
        <v>1</v>
      </c>
      <c r="G7242" s="30">
        <v>0.66669999999999996</v>
      </c>
      <c r="H7242" s="30">
        <v>0.66669999999999996</v>
      </c>
      <c r="I7242" s="30">
        <v>0.66669999999999996</v>
      </c>
      <c r="J7242" s="29">
        <v>6</v>
      </c>
      <c r="K7242" s="29">
        <v>3</v>
      </c>
      <c r="L7242" s="29">
        <v>2371</v>
      </c>
    </row>
    <row r="7243" spans="1:12" s="29" customFormat="1" x14ac:dyDescent="0.25">
      <c r="A7243" s="29" t="s">
        <v>197</v>
      </c>
      <c r="B7243" s="29" t="s">
        <v>198</v>
      </c>
      <c r="C7243" s="29" t="s">
        <v>349</v>
      </c>
      <c r="D7243" s="29" t="s">
        <v>1358</v>
      </c>
      <c r="E7243" s="30">
        <v>0.66669999999999996</v>
      </c>
      <c r="G7243" s="30">
        <v>0.33329999999999999</v>
      </c>
      <c r="H7243" s="30">
        <v>0.33329999999999999</v>
      </c>
      <c r="I7243" s="30">
        <v>0.33329999999999999</v>
      </c>
      <c r="J7243" s="29">
        <v>6</v>
      </c>
      <c r="K7243" s="29">
        <v>3</v>
      </c>
      <c r="L7243" s="29">
        <v>2371</v>
      </c>
    </row>
    <row r="7244" spans="1:12" x14ac:dyDescent="0.25">
      <c r="A7244" t="s">
        <v>199</v>
      </c>
      <c r="B7244" t="s">
        <v>198</v>
      </c>
      <c r="C7244" t="s">
        <v>348</v>
      </c>
      <c r="D7244" t="s">
        <v>1357</v>
      </c>
      <c r="E7244" s="1">
        <v>0.44109999999999999</v>
      </c>
      <c r="F7244" s="1">
        <v>0.91279999999999994</v>
      </c>
      <c r="G7244" s="1">
        <v>0.85319999999999996</v>
      </c>
      <c r="H7244" s="1">
        <v>0.96150000000000002</v>
      </c>
      <c r="I7244" s="1">
        <v>0.95620000000000005</v>
      </c>
      <c r="J7244">
        <v>44</v>
      </c>
      <c r="K7244">
        <v>51</v>
      </c>
      <c r="L7244">
        <v>2371</v>
      </c>
    </row>
    <row r="7245" spans="1:12" x14ac:dyDescent="0.25">
      <c r="A7245" t="s">
        <v>199</v>
      </c>
      <c r="B7245" t="s">
        <v>198</v>
      </c>
      <c r="C7245" t="s">
        <v>348</v>
      </c>
      <c r="D7245" t="s">
        <v>1358</v>
      </c>
      <c r="E7245" s="1">
        <v>0.55889999999999995</v>
      </c>
      <c r="F7245" s="1">
        <v>8.72E-2</v>
      </c>
      <c r="G7245" s="1">
        <v>0.14680000000000001</v>
      </c>
      <c r="H7245" s="1">
        <v>3.85E-2</v>
      </c>
      <c r="I7245" s="1">
        <v>4.3799999999999999E-2</v>
      </c>
      <c r="J7245">
        <v>44</v>
      </c>
      <c r="K7245">
        <v>51</v>
      </c>
      <c r="L7245">
        <v>2371</v>
      </c>
    </row>
    <row r="7246" spans="1:12" x14ac:dyDescent="0.25">
      <c r="A7246" t="s">
        <v>199</v>
      </c>
      <c r="B7246" t="s">
        <v>198</v>
      </c>
      <c r="C7246" t="s">
        <v>349</v>
      </c>
      <c r="D7246" t="s">
        <v>1357</v>
      </c>
      <c r="E7246" s="1">
        <v>0.53559999999999997</v>
      </c>
      <c r="F7246" s="1">
        <v>0.84930000000000005</v>
      </c>
      <c r="G7246" s="1">
        <v>0.84730000000000005</v>
      </c>
      <c r="H7246" s="1">
        <v>0.92479999999999996</v>
      </c>
      <c r="I7246" s="1">
        <v>0.90410000000000001</v>
      </c>
      <c r="J7246">
        <v>139</v>
      </c>
      <c r="K7246">
        <v>104</v>
      </c>
      <c r="L7246">
        <v>2371</v>
      </c>
    </row>
    <row r="7247" spans="1:12" x14ac:dyDescent="0.25">
      <c r="A7247" t="s">
        <v>199</v>
      </c>
      <c r="B7247" t="s">
        <v>198</v>
      </c>
      <c r="C7247" t="s">
        <v>349</v>
      </c>
      <c r="D7247" t="s">
        <v>1358</v>
      </c>
      <c r="E7247" s="1">
        <v>0.46439999999999998</v>
      </c>
      <c r="F7247" s="1">
        <v>0.1507</v>
      </c>
      <c r="G7247" s="1">
        <v>0.1527</v>
      </c>
      <c r="H7247" s="1">
        <v>7.5200000000000003E-2</v>
      </c>
      <c r="I7247" s="1">
        <v>9.5899999999999999E-2</v>
      </c>
      <c r="J7247">
        <v>139</v>
      </c>
      <c r="K7247">
        <v>104</v>
      </c>
      <c r="L7247">
        <v>2371</v>
      </c>
    </row>
    <row r="7248" spans="1:12" x14ac:dyDescent="0.25">
      <c r="A7248" t="s">
        <v>199</v>
      </c>
      <c r="B7248" t="s">
        <v>198</v>
      </c>
      <c r="C7248" t="s">
        <v>350</v>
      </c>
      <c r="D7248" t="s">
        <v>1357</v>
      </c>
      <c r="E7248" s="1">
        <v>0.39169999999999999</v>
      </c>
      <c r="F7248" s="1">
        <v>0.74780000000000002</v>
      </c>
      <c r="G7248" s="1">
        <v>0.82489999999999997</v>
      </c>
      <c r="H7248" s="1">
        <v>0.8478</v>
      </c>
      <c r="I7248" s="1">
        <v>0.89339999999999997</v>
      </c>
      <c r="J7248">
        <v>120</v>
      </c>
      <c r="K7248">
        <v>168</v>
      </c>
      <c r="L7248">
        <v>2371</v>
      </c>
    </row>
    <row r="7249" spans="1:12" x14ac:dyDescent="0.25">
      <c r="A7249" t="s">
        <v>199</v>
      </c>
      <c r="B7249" t="s">
        <v>198</v>
      </c>
      <c r="C7249" t="s">
        <v>350</v>
      </c>
      <c r="D7249" t="s">
        <v>1358</v>
      </c>
      <c r="E7249" s="1">
        <v>0.60829999999999995</v>
      </c>
      <c r="F7249" s="1">
        <v>0.25219999999999998</v>
      </c>
      <c r="G7249" s="1">
        <v>0.17510000000000001</v>
      </c>
      <c r="H7249" s="1">
        <v>0.1522</v>
      </c>
      <c r="I7249" s="1">
        <v>0.1066</v>
      </c>
      <c r="J7249">
        <v>120</v>
      </c>
      <c r="K7249">
        <v>168</v>
      </c>
      <c r="L7249">
        <v>2371</v>
      </c>
    </row>
    <row r="7250" spans="1:12" x14ac:dyDescent="0.25">
      <c r="A7250" t="s">
        <v>200</v>
      </c>
      <c r="B7250" t="s">
        <v>198</v>
      </c>
      <c r="C7250" t="s">
        <v>348</v>
      </c>
      <c r="D7250" t="s">
        <v>1357</v>
      </c>
      <c r="E7250" s="1">
        <v>0.54400000000000004</v>
      </c>
      <c r="F7250" s="1">
        <v>0.873</v>
      </c>
      <c r="G7250" s="1">
        <v>0.84899999999999998</v>
      </c>
      <c r="H7250" s="1">
        <v>0.87609999999999999</v>
      </c>
      <c r="I7250" s="1">
        <v>0.88890000000000002</v>
      </c>
      <c r="J7250">
        <v>263</v>
      </c>
      <c r="K7250">
        <v>225</v>
      </c>
      <c r="L7250">
        <v>2371</v>
      </c>
    </row>
    <row r="7251" spans="1:12" x14ac:dyDescent="0.25">
      <c r="A7251" t="s">
        <v>200</v>
      </c>
      <c r="B7251" t="s">
        <v>198</v>
      </c>
      <c r="C7251" t="s">
        <v>348</v>
      </c>
      <c r="D7251" t="s">
        <v>1358</v>
      </c>
      <c r="E7251" s="1">
        <v>0.45600000000000002</v>
      </c>
      <c r="F7251" s="1">
        <v>0.127</v>
      </c>
      <c r="G7251" s="1">
        <v>0.151</v>
      </c>
      <c r="H7251" s="1">
        <v>0.1239</v>
      </c>
      <c r="I7251" s="1">
        <v>0.1111</v>
      </c>
      <c r="J7251">
        <v>263</v>
      </c>
      <c r="K7251">
        <v>225</v>
      </c>
      <c r="L7251">
        <v>2371</v>
      </c>
    </row>
    <row r="7252" spans="1:12" x14ac:dyDescent="0.25">
      <c r="A7252" t="s">
        <v>200</v>
      </c>
      <c r="B7252" t="s">
        <v>198</v>
      </c>
      <c r="C7252" t="s">
        <v>349</v>
      </c>
      <c r="D7252" t="s">
        <v>1357</v>
      </c>
      <c r="E7252" s="1">
        <v>0.55500000000000005</v>
      </c>
      <c r="F7252" s="1">
        <v>0.71519999999999995</v>
      </c>
      <c r="G7252" s="1">
        <v>0.97340000000000004</v>
      </c>
      <c r="H7252" s="1">
        <v>0.93830000000000002</v>
      </c>
      <c r="I7252" s="1">
        <v>0.97330000000000005</v>
      </c>
      <c r="J7252">
        <v>18</v>
      </c>
      <c r="K7252">
        <v>60</v>
      </c>
      <c r="L7252">
        <v>2371</v>
      </c>
    </row>
    <row r="7253" spans="1:12" x14ac:dyDescent="0.25">
      <c r="A7253" t="s">
        <v>200</v>
      </c>
      <c r="B7253" t="s">
        <v>198</v>
      </c>
      <c r="C7253" t="s">
        <v>349</v>
      </c>
      <c r="D7253" t="s">
        <v>1358</v>
      </c>
      <c r="E7253" s="1">
        <v>0.44500000000000001</v>
      </c>
      <c r="F7253" s="1">
        <v>0.2848</v>
      </c>
      <c r="G7253" s="1">
        <v>2.6599999999999999E-2</v>
      </c>
      <c r="H7253" s="1">
        <v>6.1699999999999998E-2</v>
      </c>
      <c r="I7253" s="1">
        <v>2.6700000000000002E-2</v>
      </c>
      <c r="J7253">
        <v>18</v>
      </c>
      <c r="K7253">
        <v>60</v>
      </c>
      <c r="L7253">
        <v>2371</v>
      </c>
    </row>
    <row r="7254" spans="1:12" x14ac:dyDescent="0.25">
      <c r="A7254" t="s">
        <v>200</v>
      </c>
      <c r="B7254" t="s">
        <v>198</v>
      </c>
      <c r="C7254" t="s">
        <v>350</v>
      </c>
      <c r="D7254" t="s">
        <v>1357</v>
      </c>
      <c r="E7254" s="1">
        <v>0.41589999999999999</v>
      </c>
      <c r="F7254" s="1">
        <v>0.61470000000000002</v>
      </c>
      <c r="G7254" s="1">
        <v>0.78459999999999996</v>
      </c>
      <c r="H7254" s="1">
        <v>0.81120000000000003</v>
      </c>
      <c r="I7254" s="1">
        <v>0.78390000000000004</v>
      </c>
      <c r="J7254">
        <v>18</v>
      </c>
      <c r="K7254">
        <v>64</v>
      </c>
      <c r="L7254">
        <v>2371</v>
      </c>
    </row>
    <row r="7255" spans="1:12" x14ac:dyDescent="0.25">
      <c r="A7255" t="s">
        <v>200</v>
      </c>
      <c r="B7255" t="s">
        <v>198</v>
      </c>
      <c r="C7255" t="s">
        <v>350</v>
      </c>
      <c r="D7255" t="s">
        <v>1358</v>
      </c>
      <c r="E7255" s="1">
        <v>0.58409999999999995</v>
      </c>
      <c r="F7255" s="1">
        <v>0.38529999999999998</v>
      </c>
      <c r="G7255" s="1">
        <v>0.21540000000000001</v>
      </c>
      <c r="H7255" s="1">
        <v>0.1888</v>
      </c>
      <c r="I7255" s="1">
        <v>0.21609999999999999</v>
      </c>
      <c r="J7255">
        <v>18</v>
      </c>
      <c r="K7255">
        <v>64</v>
      </c>
      <c r="L7255">
        <v>2371</v>
      </c>
    </row>
    <row r="7256" spans="1:12" x14ac:dyDescent="0.25">
      <c r="A7256" t="s">
        <v>201</v>
      </c>
      <c r="B7256" t="s">
        <v>198</v>
      </c>
      <c r="C7256" t="s">
        <v>348</v>
      </c>
      <c r="D7256" t="s">
        <v>1357</v>
      </c>
      <c r="E7256" s="1">
        <v>0.43380000000000002</v>
      </c>
      <c r="F7256" s="1">
        <v>0.80420000000000003</v>
      </c>
      <c r="G7256" s="1">
        <v>0.83099999999999996</v>
      </c>
      <c r="H7256" s="1">
        <v>0.80940000000000001</v>
      </c>
      <c r="I7256" s="1">
        <v>0.96099999999999997</v>
      </c>
      <c r="J7256">
        <v>30</v>
      </c>
      <c r="K7256">
        <v>59</v>
      </c>
      <c r="L7256">
        <v>2371</v>
      </c>
    </row>
    <row r="7257" spans="1:12" x14ac:dyDescent="0.25">
      <c r="A7257" t="s">
        <v>201</v>
      </c>
      <c r="B7257" t="s">
        <v>198</v>
      </c>
      <c r="C7257" t="s">
        <v>348</v>
      </c>
      <c r="D7257" t="s">
        <v>1358</v>
      </c>
      <c r="E7257" s="1">
        <v>0.56620000000000004</v>
      </c>
      <c r="F7257" s="1">
        <v>0.1958</v>
      </c>
      <c r="G7257" s="1">
        <v>0.16900000000000001</v>
      </c>
      <c r="H7257" s="1">
        <v>0.19059999999999999</v>
      </c>
      <c r="I7257" s="1">
        <v>3.9E-2</v>
      </c>
      <c r="J7257">
        <v>30</v>
      </c>
      <c r="K7257">
        <v>59</v>
      </c>
      <c r="L7257">
        <v>2371</v>
      </c>
    </row>
    <row r="7258" spans="1:12" x14ac:dyDescent="0.25">
      <c r="A7258" t="s">
        <v>201</v>
      </c>
      <c r="B7258" t="s">
        <v>198</v>
      </c>
      <c r="C7258" t="s">
        <v>349</v>
      </c>
      <c r="D7258" t="s">
        <v>1357</v>
      </c>
      <c r="E7258" s="1">
        <v>0.37840000000000001</v>
      </c>
      <c r="F7258" s="1">
        <v>0.78420000000000001</v>
      </c>
      <c r="G7258" s="1">
        <v>0.78520000000000001</v>
      </c>
      <c r="H7258" s="1">
        <v>0.71750000000000003</v>
      </c>
      <c r="I7258" s="1">
        <v>0.76149999999999995</v>
      </c>
      <c r="J7258">
        <v>79</v>
      </c>
      <c r="K7258">
        <v>118</v>
      </c>
      <c r="L7258">
        <v>2371</v>
      </c>
    </row>
    <row r="7259" spans="1:12" x14ac:dyDescent="0.25">
      <c r="A7259" t="s">
        <v>201</v>
      </c>
      <c r="B7259" t="s">
        <v>198</v>
      </c>
      <c r="C7259" t="s">
        <v>349</v>
      </c>
      <c r="D7259" t="s">
        <v>1358</v>
      </c>
      <c r="E7259" s="1">
        <v>0.62160000000000004</v>
      </c>
      <c r="F7259" s="1">
        <v>0.21579999999999999</v>
      </c>
      <c r="G7259" s="1">
        <v>0.21479999999999999</v>
      </c>
      <c r="H7259" s="1">
        <v>0.28249999999999997</v>
      </c>
      <c r="I7259" s="1">
        <v>0.23849999999999999</v>
      </c>
      <c r="J7259">
        <v>79</v>
      </c>
      <c r="K7259">
        <v>118</v>
      </c>
      <c r="L7259">
        <v>2371</v>
      </c>
    </row>
    <row r="7260" spans="1:12" x14ac:dyDescent="0.25">
      <c r="A7260" t="s">
        <v>201</v>
      </c>
      <c r="B7260" t="s">
        <v>198</v>
      </c>
      <c r="C7260" t="s">
        <v>350</v>
      </c>
      <c r="D7260" t="s">
        <v>1357</v>
      </c>
      <c r="E7260" s="1">
        <v>0.54710000000000003</v>
      </c>
      <c r="F7260" s="1">
        <v>0.86409999999999998</v>
      </c>
      <c r="G7260" s="1">
        <v>0.83779999999999999</v>
      </c>
      <c r="H7260" s="1">
        <v>0.89939999999999998</v>
      </c>
      <c r="I7260" s="1">
        <v>0.85019999999999996</v>
      </c>
      <c r="J7260">
        <v>4</v>
      </c>
      <c r="K7260">
        <v>53</v>
      </c>
      <c r="L7260">
        <v>2371</v>
      </c>
    </row>
    <row r="7261" spans="1:12" x14ac:dyDescent="0.25">
      <c r="A7261" t="s">
        <v>201</v>
      </c>
      <c r="B7261" t="s">
        <v>198</v>
      </c>
      <c r="C7261" t="s">
        <v>350</v>
      </c>
      <c r="D7261" t="s">
        <v>1358</v>
      </c>
      <c r="E7261" s="1">
        <v>0.45290000000000002</v>
      </c>
      <c r="F7261" s="1">
        <v>0.13589999999999999</v>
      </c>
      <c r="G7261" s="1">
        <v>0.16220000000000001</v>
      </c>
      <c r="H7261" s="1">
        <v>0.10059999999999999</v>
      </c>
      <c r="I7261" s="1">
        <v>0.14979999999999999</v>
      </c>
      <c r="J7261">
        <v>4</v>
      </c>
      <c r="K7261">
        <v>53</v>
      </c>
      <c r="L7261">
        <v>2371</v>
      </c>
    </row>
    <row r="7262" spans="1:12" x14ac:dyDescent="0.25">
      <c r="A7262" t="s">
        <v>202</v>
      </c>
      <c r="B7262" t="s">
        <v>198</v>
      </c>
      <c r="C7262" t="s">
        <v>348</v>
      </c>
      <c r="D7262" t="s">
        <v>1357</v>
      </c>
      <c r="E7262" s="1">
        <v>0.46820000000000001</v>
      </c>
      <c r="F7262" s="1">
        <v>0.7369</v>
      </c>
      <c r="G7262" s="1">
        <v>0.82040000000000002</v>
      </c>
      <c r="H7262" s="1">
        <v>0.91239999999999999</v>
      </c>
      <c r="I7262" s="1">
        <v>0.8548</v>
      </c>
      <c r="J7262">
        <v>224</v>
      </c>
      <c r="K7262">
        <v>89</v>
      </c>
      <c r="L7262">
        <v>2371</v>
      </c>
    </row>
    <row r="7263" spans="1:12" x14ac:dyDescent="0.25">
      <c r="A7263" t="s">
        <v>202</v>
      </c>
      <c r="B7263" t="s">
        <v>198</v>
      </c>
      <c r="C7263" t="s">
        <v>348</v>
      </c>
      <c r="D7263" t="s">
        <v>1358</v>
      </c>
      <c r="E7263" s="1">
        <v>0.53180000000000005</v>
      </c>
      <c r="F7263" s="1">
        <v>0.2631</v>
      </c>
      <c r="G7263" s="1">
        <v>0.17960000000000001</v>
      </c>
      <c r="H7263" s="1">
        <v>8.7599999999999997E-2</v>
      </c>
      <c r="I7263" s="1">
        <v>0.1452</v>
      </c>
      <c r="J7263">
        <v>224</v>
      </c>
      <c r="K7263">
        <v>89</v>
      </c>
      <c r="L7263">
        <v>2371</v>
      </c>
    </row>
    <row r="7264" spans="1:12" x14ac:dyDescent="0.25">
      <c r="A7264" t="s">
        <v>199</v>
      </c>
      <c r="B7264" t="s">
        <v>203</v>
      </c>
      <c r="C7264" t="s">
        <v>348</v>
      </c>
      <c r="D7264" t="s">
        <v>1357</v>
      </c>
      <c r="E7264" s="1">
        <v>0.76890000000000003</v>
      </c>
      <c r="F7264" s="1">
        <v>0.81599999999999995</v>
      </c>
      <c r="G7264" s="1">
        <v>0.93840000000000001</v>
      </c>
      <c r="H7264" s="1">
        <v>0.90469999999999995</v>
      </c>
      <c r="I7264" s="1">
        <v>0.97499999999999998</v>
      </c>
      <c r="J7264">
        <v>14</v>
      </c>
      <c r="K7264">
        <v>41</v>
      </c>
      <c r="L7264">
        <v>2371</v>
      </c>
    </row>
    <row r="7265" spans="1:12" x14ac:dyDescent="0.25">
      <c r="A7265" t="s">
        <v>199</v>
      </c>
      <c r="B7265" t="s">
        <v>203</v>
      </c>
      <c r="C7265" t="s">
        <v>348</v>
      </c>
      <c r="D7265" t="s">
        <v>1358</v>
      </c>
      <c r="E7265" s="1">
        <v>0.2311</v>
      </c>
      <c r="F7265" s="1">
        <v>0.184</v>
      </c>
      <c r="G7265" s="1">
        <v>6.1600000000000002E-2</v>
      </c>
      <c r="H7265" s="1">
        <v>9.5299999999999996E-2</v>
      </c>
      <c r="I7265" s="1">
        <v>2.5000000000000001E-2</v>
      </c>
      <c r="J7265">
        <v>14</v>
      </c>
      <c r="K7265">
        <v>41</v>
      </c>
      <c r="L7265">
        <v>2371</v>
      </c>
    </row>
    <row r="7266" spans="1:12" x14ac:dyDescent="0.25">
      <c r="A7266" t="s">
        <v>199</v>
      </c>
      <c r="B7266" t="s">
        <v>203</v>
      </c>
      <c r="C7266" t="s">
        <v>349</v>
      </c>
      <c r="D7266" t="s">
        <v>1357</v>
      </c>
      <c r="E7266" s="1">
        <v>0.76349999999999996</v>
      </c>
      <c r="F7266" s="1">
        <v>0.89480000000000004</v>
      </c>
      <c r="G7266" s="1">
        <v>0.9365</v>
      </c>
      <c r="H7266" s="1">
        <v>0.93789999999999996</v>
      </c>
      <c r="I7266" s="1">
        <v>0.93130000000000002</v>
      </c>
      <c r="J7266">
        <v>106</v>
      </c>
      <c r="K7266">
        <v>152</v>
      </c>
      <c r="L7266">
        <v>2371</v>
      </c>
    </row>
    <row r="7267" spans="1:12" x14ac:dyDescent="0.25">
      <c r="A7267" t="s">
        <v>199</v>
      </c>
      <c r="B7267" t="s">
        <v>203</v>
      </c>
      <c r="C7267" t="s">
        <v>349</v>
      </c>
      <c r="D7267" t="s">
        <v>1358</v>
      </c>
      <c r="E7267" s="1">
        <v>0.23649999999999999</v>
      </c>
      <c r="F7267" s="1">
        <v>0.1052</v>
      </c>
      <c r="G7267" s="1">
        <v>6.3500000000000001E-2</v>
      </c>
      <c r="H7267" s="1">
        <v>6.2100000000000002E-2</v>
      </c>
      <c r="I7267" s="1">
        <v>6.8699999999999997E-2</v>
      </c>
      <c r="J7267">
        <v>106</v>
      </c>
      <c r="K7267">
        <v>152</v>
      </c>
      <c r="L7267">
        <v>2371</v>
      </c>
    </row>
    <row r="7268" spans="1:12" x14ac:dyDescent="0.25">
      <c r="A7268" t="s">
        <v>199</v>
      </c>
      <c r="B7268" t="s">
        <v>203</v>
      </c>
      <c r="C7268" t="s">
        <v>350</v>
      </c>
      <c r="D7268" t="s">
        <v>1357</v>
      </c>
      <c r="E7268" s="1">
        <v>0.60719999999999996</v>
      </c>
      <c r="F7268" s="1">
        <v>0.83130000000000004</v>
      </c>
      <c r="G7268" s="1">
        <v>0.88160000000000005</v>
      </c>
      <c r="H7268" s="1">
        <v>0.97009999999999996</v>
      </c>
      <c r="I7268" s="1">
        <v>0.92410000000000003</v>
      </c>
      <c r="J7268">
        <v>208</v>
      </c>
      <c r="K7268">
        <v>271</v>
      </c>
      <c r="L7268">
        <v>2371</v>
      </c>
    </row>
    <row r="7269" spans="1:12" x14ac:dyDescent="0.25">
      <c r="A7269" t="s">
        <v>199</v>
      </c>
      <c r="B7269" t="s">
        <v>203</v>
      </c>
      <c r="C7269" t="s">
        <v>350</v>
      </c>
      <c r="D7269" t="s">
        <v>1358</v>
      </c>
      <c r="E7269" s="1">
        <v>0.39279999999999998</v>
      </c>
      <c r="F7269" s="1">
        <v>0.16869999999999999</v>
      </c>
      <c r="G7269" s="1">
        <v>0.11840000000000001</v>
      </c>
      <c r="H7269" s="1">
        <v>2.9899999999999999E-2</v>
      </c>
      <c r="I7269" s="1">
        <v>7.5899999999999995E-2</v>
      </c>
      <c r="J7269">
        <v>208</v>
      </c>
      <c r="K7269">
        <v>271</v>
      </c>
      <c r="L7269">
        <v>2371</v>
      </c>
    </row>
    <row r="7270" spans="1:12" x14ac:dyDescent="0.25">
      <c r="A7270" t="s">
        <v>200</v>
      </c>
      <c r="B7270" t="s">
        <v>203</v>
      </c>
      <c r="C7270" t="s">
        <v>348</v>
      </c>
      <c r="D7270" t="s">
        <v>1357</v>
      </c>
      <c r="E7270" s="1">
        <v>0.75729999999999997</v>
      </c>
      <c r="F7270" s="1">
        <v>0.95840000000000003</v>
      </c>
      <c r="G7270" s="1">
        <v>0.98929999999999996</v>
      </c>
      <c r="H7270" s="1">
        <v>0.98609999999999998</v>
      </c>
      <c r="I7270" s="1">
        <v>0.99060000000000004</v>
      </c>
      <c r="J7270">
        <v>616</v>
      </c>
      <c r="K7270">
        <v>258</v>
      </c>
      <c r="L7270">
        <v>2371</v>
      </c>
    </row>
    <row r="7271" spans="1:12" x14ac:dyDescent="0.25">
      <c r="A7271" t="s">
        <v>200</v>
      </c>
      <c r="B7271" t="s">
        <v>203</v>
      </c>
      <c r="C7271" t="s">
        <v>348</v>
      </c>
      <c r="D7271" t="s">
        <v>1358</v>
      </c>
      <c r="E7271" s="1">
        <v>0.2427</v>
      </c>
      <c r="F7271" s="1">
        <v>4.1599999999999998E-2</v>
      </c>
      <c r="G7271" s="1">
        <v>1.0699999999999999E-2</v>
      </c>
      <c r="H7271" s="1">
        <v>1.3899999999999999E-2</v>
      </c>
      <c r="I7271" s="1">
        <v>9.4000000000000004E-3</v>
      </c>
      <c r="J7271">
        <v>616</v>
      </c>
      <c r="K7271">
        <v>258</v>
      </c>
      <c r="L7271">
        <v>2371</v>
      </c>
    </row>
    <row r="7272" spans="1:12" x14ac:dyDescent="0.25">
      <c r="A7272" t="s">
        <v>200</v>
      </c>
      <c r="B7272" t="s">
        <v>203</v>
      </c>
      <c r="C7272" t="s">
        <v>349</v>
      </c>
      <c r="D7272" t="s">
        <v>1357</v>
      </c>
      <c r="E7272" s="1">
        <v>0.62619999999999998</v>
      </c>
      <c r="F7272" s="1">
        <v>0.84730000000000005</v>
      </c>
      <c r="G7272" s="1">
        <v>0.9667</v>
      </c>
      <c r="H7272" s="1">
        <v>0.98089999999999999</v>
      </c>
      <c r="I7272" s="1">
        <v>0.97330000000000005</v>
      </c>
      <c r="J7272">
        <v>62</v>
      </c>
      <c r="K7272">
        <v>100</v>
      </c>
      <c r="L7272">
        <v>2371</v>
      </c>
    </row>
    <row r="7273" spans="1:12" x14ac:dyDescent="0.25">
      <c r="A7273" t="s">
        <v>200</v>
      </c>
      <c r="B7273" t="s">
        <v>203</v>
      </c>
      <c r="C7273" t="s">
        <v>349</v>
      </c>
      <c r="D7273" t="s">
        <v>1358</v>
      </c>
      <c r="E7273" s="1">
        <v>0.37380000000000002</v>
      </c>
      <c r="F7273" s="1">
        <v>0.1527</v>
      </c>
      <c r="G7273" s="1">
        <v>3.3300000000000003E-2</v>
      </c>
      <c r="H7273" s="1">
        <v>1.9099999999999999E-2</v>
      </c>
      <c r="I7273" s="1">
        <v>2.6700000000000002E-2</v>
      </c>
      <c r="J7273">
        <v>62</v>
      </c>
      <c r="K7273">
        <v>100</v>
      </c>
      <c r="L7273">
        <v>2371</v>
      </c>
    </row>
    <row r="7274" spans="1:12" x14ac:dyDescent="0.25">
      <c r="A7274" t="s">
        <v>200</v>
      </c>
      <c r="B7274" t="s">
        <v>203</v>
      </c>
      <c r="C7274" t="s">
        <v>350</v>
      </c>
      <c r="D7274" t="s">
        <v>1357</v>
      </c>
      <c r="E7274" s="1">
        <v>0.75680000000000003</v>
      </c>
      <c r="F7274" s="1">
        <v>0.92110000000000003</v>
      </c>
      <c r="G7274" s="1">
        <v>0.90920000000000001</v>
      </c>
      <c r="H7274" s="1">
        <v>0.94669999999999999</v>
      </c>
      <c r="I7274" s="1">
        <v>0.89949999999999997</v>
      </c>
      <c r="J7274">
        <v>23</v>
      </c>
      <c r="K7274">
        <v>83</v>
      </c>
      <c r="L7274">
        <v>2371</v>
      </c>
    </row>
    <row r="7275" spans="1:12" x14ac:dyDescent="0.25">
      <c r="A7275" t="s">
        <v>200</v>
      </c>
      <c r="B7275" t="s">
        <v>203</v>
      </c>
      <c r="C7275" t="s">
        <v>350</v>
      </c>
      <c r="D7275" t="s">
        <v>1358</v>
      </c>
      <c r="E7275" s="1">
        <v>0.2432</v>
      </c>
      <c r="F7275" s="1">
        <v>7.8899999999999998E-2</v>
      </c>
      <c r="G7275" s="1">
        <v>9.0800000000000006E-2</v>
      </c>
      <c r="H7275" s="1">
        <v>5.33E-2</v>
      </c>
      <c r="I7275" s="1">
        <v>0.10050000000000001</v>
      </c>
      <c r="J7275">
        <v>23</v>
      </c>
      <c r="K7275">
        <v>83</v>
      </c>
      <c r="L7275">
        <v>2371</v>
      </c>
    </row>
    <row r="7276" spans="1:12" x14ac:dyDescent="0.25">
      <c r="A7276" t="s">
        <v>201</v>
      </c>
      <c r="B7276" t="s">
        <v>203</v>
      </c>
      <c r="C7276" t="s">
        <v>348</v>
      </c>
      <c r="D7276" t="s">
        <v>1357</v>
      </c>
      <c r="E7276" s="1">
        <v>0.53080000000000005</v>
      </c>
      <c r="F7276" s="1">
        <v>0.7409</v>
      </c>
      <c r="G7276" s="1">
        <v>0.77690000000000003</v>
      </c>
      <c r="H7276" s="1">
        <v>0.86109999999999998</v>
      </c>
      <c r="I7276" s="1">
        <v>0.87560000000000004</v>
      </c>
      <c r="J7276">
        <v>14</v>
      </c>
      <c r="K7276">
        <v>53</v>
      </c>
      <c r="L7276">
        <v>2371</v>
      </c>
    </row>
    <row r="7277" spans="1:12" x14ac:dyDescent="0.25">
      <c r="A7277" t="s">
        <v>201</v>
      </c>
      <c r="B7277" t="s">
        <v>203</v>
      </c>
      <c r="C7277" t="s">
        <v>348</v>
      </c>
      <c r="D7277" t="s">
        <v>1358</v>
      </c>
      <c r="E7277" s="1">
        <v>0.46920000000000001</v>
      </c>
      <c r="F7277" s="1">
        <v>0.2591</v>
      </c>
      <c r="G7277" s="1">
        <v>0.22309999999999999</v>
      </c>
      <c r="H7277" s="1">
        <v>0.1389</v>
      </c>
      <c r="I7277" s="1">
        <v>0.1244</v>
      </c>
      <c r="J7277">
        <v>14</v>
      </c>
      <c r="K7277">
        <v>53</v>
      </c>
      <c r="L7277">
        <v>2371</v>
      </c>
    </row>
    <row r="7278" spans="1:12" x14ac:dyDescent="0.25">
      <c r="A7278" t="s">
        <v>201</v>
      </c>
      <c r="B7278" t="s">
        <v>203</v>
      </c>
      <c r="C7278" t="s">
        <v>349</v>
      </c>
      <c r="D7278" t="s">
        <v>1357</v>
      </c>
      <c r="E7278" s="1">
        <v>0.65380000000000005</v>
      </c>
      <c r="F7278" s="1">
        <v>0.89700000000000002</v>
      </c>
      <c r="G7278" s="1">
        <v>0.92479999999999996</v>
      </c>
      <c r="H7278" s="1">
        <v>0.94179999999999997</v>
      </c>
      <c r="I7278" s="1">
        <v>0.96730000000000005</v>
      </c>
      <c r="J7278">
        <v>111</v>
      </c>
      <c r="K7278">
        <v>142</v>
      </c>
      <c r="L7278">
        <v>2371</v>
      </c>
    </row>
    <row r="7279" spans="1:12" x14ac:dyDescent="0.25">
      <c r="A7279" t="s">
        <v>201</v>
      </c>
      <c r="B7279" t="s">
        <v>203</v>
      </c>
      <c r="C7279" t="s">
        <v>349</v>
      </c>
      <c r="D7279" t="s">
        <v>1358</v>
      </c>
      <c r="E7279" s="1">
        <v>0.34620000000000001</v>
      </c>
      <c r="F7279" s="1">
        <v>0.10299999999999999</v>
      </c>
      <c r="G7279" s="1">
        <v>7.5200000000000003E-2</v>
      </c>
      <c r="H7279" s="1">
        <v>5.8200000000000002E-2</v>
      </c>
      <c r="I7279" s="1">
        <v>3.27E-2</v>
      </c>
      <c r="J7279">
        <v>111</v>
      </c>
      <c r="K7279">
        <v>142</v>
      </c>
      <c r="L7279">
        <v>2371</v>
      </c>
    </row>
    <row r="7280" spans="1:12" x14ac:dyDescent="0.25">
      <c r="A7280" t="s">
        <v>201</v>
      </c>
      <c r="B7280" t="s">
        <v>203</v>
      </c>
      <c r="C7280" t="s">
        <v>350</v>
      </c>
      <c r="D7280" t="s">
        <v>1357</v>
      </c>
      <c r="E7280" s="1">
        <v>0.52429999999999999</v>
      </c>
      <c r="F7280" s="1">
        <v>0.68710000000000004</v>
      </c>
      <c r="G7280" s="1">
        <v>0.79820000000000002</v>
      </c>
      <c r="H7280" s="1">
        <v>0.83809999999999996</v>
      </c>
      <c r="I7280" s="1">
        <v>0.85209999999999997</v>
      </c>
      <c r="J7280">
        <v>9</v>
      </c>
      <c r="K7280">
        <v>88</v>
      </c>
      <c r="L7280">
        <v>2371</v>
      </c>
    </row>
    <row r="7281" spans="1:12" x14ac:dyDescent="0.25">
      <c r="A7281" t="s">
        <v>201</v>
      </c>
      <c r="B7281" t="s">
        <v>203</v>
      </c>
      <c r="C7281" t="s">
        <v>350</v>
      </c>
      <c r="D7281" t="s">
        <v>1358</v>
      </c>
      <c r="E7281" s="1">
        <v>0.47570000000000001</v>
      </c>
      <c r="F7281" s="1">
        <v>0.31290000000000001</v>
      </c>
      <c r="G7281" s="1">
        <v>0.20180000000000001</v>
      </c>
      <c r="H7281" s="1">
        <v>0.16189999999999999</v>
      </c>
      <c r="I7281" s="1">
        <v>0.1479</v>
      </c>
      <c r="J7281">
        <v>9</v>
      </c>
      <c r="K7281">
        <v>88</v>
      </c>
      <c r="L7281">
        <v>2371</v>
      </c>
    </row>
    <row r="7282" spans="1:12" x14ac:dyDescent="0.25">
      <c r="A7282" t="s">
        <v>202</v>
      </c>
      <c r="B7282" t="s">
        <v>203</v>
      </c>
      <c r="C7282" t="s">
        <v>348</v>
      </c>
      <c r="D7282" t="s">
        <v>1357</v>
      </c>
      <c r="E7282" s="1">
        <v>0.79310000000000003</v>
      </c>
      <c r="F7282" s="1">
        <v>0.9415</v>
      </c>
      <c r="G7282" s="1">
        <v>0.96160000000000001</v>
      </c>
      <c r="H7282" s="1">
        <v>0.97789999999999999</v>
      </c>
      <c r="I7282" s="1">
        <v>0.97130000000000005</v>
      </c>
      <c r="J7282">
        <v>125</v>
      </c>
      <c r="K7282">
        <v>84</v>
      </c>
      <c r="L7282">
        <v>2371</v>
      </c>
    </row>
    <row r="7283" spans="1:12" x14ac:dyDescent="0.25">
      <c r="A7283" t="s">
        <v>202</v>
      </c>
      <c r="B7283" t="s">
        <v>203</v>
      </c>
      <c r="C7283" t="s">
        <v>348</v>
      </c>
      <c r="D7283" t="s">
        <v>1358</v>
      </c>
      <c r="E7283" s="1">
        <v>0.2069</v>
      </c>
      <c r="F7283" s="1">
        <v>5.8500000000000003E-2</v>
      </c>
      <c r="G7283" s="1">
        <v>3.8399999999999997E-2</v>
      </c>
      <c r="H7283" s="1">
        <v>2.2100000000000002E-2</v>
      </c>
      <c r="I7283" s="1">
        <v>2.87E-2</v>
      </c>
      <c r="J7283">
        <v>125</v>
      </c>
      <c r="K7283">
        <v>84</v>
      </c>
      <c r="L7283">
        <v>2371</v>
      </c>
    </row>
    <row r="7284" spans="1:12" x14ac:dyDescent="0.25">
      <c r="A7284" t="s">
        <v>204</v>
      </c>
      <c r="B7284" t="s">
        <v>204</v>
      </c>
      <c r="C7284" t="s">
        <v>204</v>
      </c>
      <c r="D7284" t="s">
        <v>1357</v>
      </c>
      <c r="E7284" s="1">
        <v>0.60950000000000004</v>
      </c>
      <c r="F7284" s="1">
        <v>0.86680000000000001</v>
      </c>
      <c r="G7284" s="1">
        <v>0.89659999999999995</v>
      </c>
      <c r="H7284" s="1">
        <v>0.93030000000000002</v>
      </c>
      <c r="I7284" s="1">
        <v>0.9254</v>
      </c>
      <c r="J7284">
        <v>2371</v>
      </c>
      <c r="K7284">
        <v>2371</v>
      </c>
      <c r="L7284">
        <v>2371</v>
      </c>
    </row>
    <row r="7285" spans="1:12" x14ac:dyDescent="0.25">
      <c r="A7285" t="s">
        <v>204</v>
      </c>
      <c r="B7285" t="s">
        <v>204</v>
      </c>
      <c r="C7285" t="s">
        <v>204</v>
      </c>
      <c r="D7285" t="s">
        <v>1358</v>
      </c>
      <c r="E7285" s="1">
        <v>0.39050000000000001</v>
      </c>
      <c r="F7285" s="1">
        <v>0.13320000000000001</v>
      </c>
      <c r="G7285" s="1">
        <v>0.10340000000000001</v>
      </c>
      <c r="H7285" s="1">
        <v>6.9699999999999998E-2</v>
      </c>
      <c r="I7285" s="1">
        <v>7.46E-2</v>
      </c>
      <c r="J7285">
        <v>2371</v>
      </c>
      <c r="K7285">
        <v>2371</v>
      </c>
      <c r="L7285">
        <v>2371</v>
      </c>
    </row>
  </sheetData>
  <autoFilter ref="A1:BD7285" xr:uid="{00000000-0001-0000-0100-000000000000}"/>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0"/>
  <sheetViews>
    <sheetView zoomScale="85" zoomScaleNormal="85" workbookViewId="0">
      <selection activeCell="F6" sqref="F6"/>
    </sheetView>
  </sheetViews>
  <sheetFormatPr defaultRowHeight="15" x14ac:dyDescent="0.25"/>
  <cols>
    <col min="1" max="1" width="33.140625" bestFit="1" customWidth="1"/>
    <col min="2" max="2" width="35.7109375" bestFit="1" customWidth="1"/>
  </cols>
  <sheetData>
    <row r="1" spans="1:2" x14ac:dyDescent="0.25">
      <c r="A1" s="2" t="s">
        <v>1360</v>
      </c>
      <c r="B1" s="2" t="s">
        <v>1361</v>
      </c>
    </row>
    <row r="2" spans="1:2" x14ac:dyDescent="0.25">
      <c r="A2" s="3" t="s">
        <v>1362</v>
      </c>
      <c r="B2" s="3" t="s">
        <v>1363</v>
      </c>
    </row>
    <row r="3" spans="1:2" x14ac:dyDescent="0.25">
      <c r="A3" s="3" t="s">
        <v>1364</v>
      </c>
      <c r="B3" s="3" t="s">
        <v>1365</v>
      </c>
    </row>
    <row r="4" spans="1:2" x14ac:dyDescent="0.25">
      <c r="A4" s="3" t="s">
        <v>1366</v>
      </c>
      <c r="B4" s="3" t="s">
        <v>1367</v>
      </c>
    </row>
    <row r="5" spans="1:2" x14ac:dyDescent="0.25">
      <c r="A5" s="3" t="s">
        <v>1368</v>
      </c>
      <c r="B5" s="5" t="s">
        <v>1369</v>
      </c>
    </row>
    <row r="6" spans="1:2" x14ac:dyDescent="0.25">
      <c r="A6" s="3" t="s">
        <v>1370</v>
      </c>
      <c r="B6" s="5" t="s">
        <v>1371</v>
      </c>
    </row>
    <row r="7" spans="1:2" x14ac:dyDescent="0.25">
      <c r="A7" s="3" t="s">
        <v>1372</v>
      </c>
      <c r="B7" s="5" t="s">
        <v>1373</v>
      </c>
    </row>
    <row r="8" spans="1:2" x14ac:dyDescent="0.25">
      <c r="A8" s="3" t="s">
        <v>1374</v>
      </c>
      <c r="B8" s="5" t="s">
        <v>1375</v>
      </c>
    </row>
    <row r="9" spans="1:2" x14ac:dyDescent="0.25">
      <c r="A9" s="3" t="s">
        <v>1376</v>
      </c>
      <c r="B9" s="5" t="s">
        <v>1377</v>
      </c>
    </row>
    <row r="10" spans="1:2" x14ac:dyDescent="0.25">
      <c r="A10" s="3" t="s">
        <v>1378</v>
      </c>
      <c r="B10" s="5" t="s">
        <v>1379</v>
      </c>
    </row>
    <row r="11" spans="1:2" x14ac:dyDescent="0.25">
      <c r="A11" s="3" t="s">
        <v>1380</v>
      </c>
      <c r="B11" s="5" t="s">
        <v>1381</v>
      </c>
    </row>
    <row r="12" spans="1:2" x14ac:dyDescent="0.25">
      <c r="A12" s="3" t="s">
        <v>1382</v>
      </c>
      <c r="B12" s="5" t="s">
        <v>1383</v>
      </c>
    </row>
    <row r="13" spans="1:2" x14ac:dyDescent="0.25">
      <c r="A13" s="3" t="s">
        <v>1384</v>
      </c>
      <c r="B13" s="5" t="s">
        <v>1385</v>
      </c>
    </row>
    <row r="14" spans="1:2" x14ac:dyDescent="0.25">
      <c r="A14" s="3" t="s">
        <v>1386</v>
      </c>
      <c r="B14" s="5" t="s">
        <v>1387</v>
      </c>
    </row>
    <row r="15" spans="1:2" x14ac:dyDescent="0.25">
      <c r="A15" s="3" t="s">
        <v>1388</v>
      </c>
      <c r="B15" s="4"/>
    </row>
    <row r="16" spans="1:2" x14ac:dyDescent="0.25">
      <c r="A16" s="3" t="s">
        <v>1389</v>
      </c>
      <c r="B16" s="4"/>
    </row>
    <row r="17" spans="1:2" x14ac:dyDescent="0.25">
      <c r="A17" s="3" t="s">
        <v>1390</v>
      </c>
      <c r="B17" s="4"/>
    </row>
    <row r="18" spans="1:2" x14ac:dyDescent="0.25">
      <c r="A18" s="3" t="s">
        <v>1391</v>
      </c>
      <c r="B18" s="4"/>
    </row>
    <row r="19" spans="1:2" x14ac:dyDescent="0.25">
      <c r="A19" s="3" t="s">
        <v>1392</v>
      </c>
      <c r="B19" s="4"/>
    </row>
    <row r="20" spans="1:2" x14ac:dyDescent="0.25">
      <c r="A20" s="3" t="s">
        <v>1393</v>
      </c>
      <c r="B20" s="4"/>
    </row>
    <row r="21" spans="1:2" x14ac:dyDescent="0.25">
      <c r="A21" s="3" t="s">
        <v>1394</v>
      </c>
      <c r="B21" s="4"/>
    </row>
    <row r="22" spans="1:2" x14ac:dyDescent="0.25">
      <c r="A22" s="3" t="s">
        <v>1395</v>
      </c>
      <c r="B22" s="4"/>
    </row>
    <row r="23" spans="1:2" x14ac:dyDescent="0.25">
      <c r="A23" s="3" t="s">
        <v>1396</v>
      </c>
      <c r="B23" s="4"/>
    </row>
    <row r="24" spans="1:2" x14ac:dyDescent="0.25">
      <c r="A24" s="3" t="s">
        <v>1397</v>
      </c>
      <c r="B24" s="4"/>
    </row>
    <row r="25" spans="1:2" x14ac:dyDescent="0.25">
      <c r="A25" s="3" t="s">
        <v>1398</v>
      </c>
      <c r="B25" s="4"/>
    </row>
    <row r="26" spans="1:2" x14ac:dyDescent="0.25">
      <c r="A26" s="3" t="s">
        <v>1399</v>
      </c>
      <c r="B26" s="4"/>
    </row>
    <row r="27" spans="1:2" x14ac:dyDescent="0.25">
      <c r="A27" s="3" t="s">
        <v>1400</v>
      </c>
      <c r="B27" s="4"/>
    </row>
    <row r="28" spans="1:2" x14ac:dyDescent="0.25">
      <c r="A28" s="3" t="s">
        <v>1401</v>
      </c>
      <c r="B28" s="4"/>
    </row>
    <row r="29" spans="1:2" x14ac:dyDescent="0.25">
      <c r="A29" s="3" t="s">
        <v>1402</v>
      </c>
      <c r="B29" s="4"/>
    </row>
    <row r="30" spans="1:2" x14ac:dyDescent="0.25">
      <c r="A30" s="3" t="s">
        <v>1403</v>
      </c>
      <c r="B30" s="4"/>
    </row>
    <row r="31" spans="1:2" x14ac:dyDescent="0.25">
      <c r="A31" s="3" t="s">
        <v>1404</v>
      </c>
      <c r="B31" s="4"/>
    </row>
    <row r="32" spans="1:2" x14ac:dyDescent="0.25">
      <c r="A32" s="3" t="s">
        <v>1405</v>
      </c>
      <c r="B32" s="4"/>
    </row>
    <row r="33" spans="1:2" x14ac:dyDescent="0.25">
      <c r="A33" s="3" t="s">
        <v>1406</v>
      </c>
      <c r="B33" s="4"/>
    </row>
    <row r="34" spans="1:2" x14ac:dyDescent="0.25">
      <c r="A34" s="3" t="s">
        <v>1407</v>
      </c>
      <c r="B34" s="4"/>
    </row>
    <row r="35" spans="1:2" x14ac:dyDescent="0.25">
      <c r="A35" s="3" t="s">
        <v>1408</v>
      </c>
      <c r="B35" s="4"/>
    </row>
    <row r="36" spans="1:2" x14ac:dyDescent="0.25">
      <c r="A36" s="3" t="s">
        <v>1409</v>
      </c>
      <c r="B36" s="4"/>
    </row>
    <row r="37" spans="1:2" x14ac:dyDescent="0.25">
      <c r="A37" s="3" t="s">
        <v>1410</v>
      </c>
      <c r="B37" s="4"/>
    </row>
    <row r="38" spans="1:2" x14ac:dyDescent="0.25">
      <c r="A38" s="3" t="s">
        <v>1411</v>
      </c>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B92E53-9A55-4802-9A59-8EFF21E91640}">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2.xml><?xml version="1.0" encoding="utf-8"?>
<ds:datastoreItem xmlns:ds="http://schemas.openxmlformats.org/officeDocument/2006/customXml" ds:itemID="{57DD69D5-C22A-48F9-90A5-69784A46A111}">
  <ds:schemaRefs>
    <ds:schemaRef ds:uri="http://schemas.microsoft.com/sharepoint/v3/contenttype/forms"/>
  </ds:schemaRefs>
</ds:datastoreItem>
</file>

<file path=customXml/itemProps3.xml><?xml version="1.0" encoding="utf-8"?>
<ds:datastoreItem xmlns:ds="http://schemas.openxmlformats.org/officeDocument/2006/customXml" ds:itemID="{607D999C-CADB-46C3-AE3F-45254CD46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Table_of_content</vt:lpstr>
      <vt:lpstr>Data</vt:lpstr>
      <vt:lpstr>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Olha MYKHAILUK</cp:lastModifiedBy>
  <cp:revision/>
  <dcterms:created xsi:type="dcterms:W3CDTF">2024-09-12T11:14:58Z</dcterms:created>
  <dcterms:modified xsi:type="dcterms:W3CDTF">2024-09-17T08:42:57Z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